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1570" yWindow="60" windowWidth="18090" windowHeight="8910" firstSheet="1" activeTab="1"/>
  </bookViews>
  <sheets>
    <sheet name="Worksheet" sheetId="1" state="hidden" r:id="rId1"/>
    <sheet name="Request" sheetId="2" r:id="rId2"/>
    <sheet name="Sheet1" sheetId="5" r:id="rId3"/>
    <sheet name="Sheet2" sheetId="6" r:id="rId4"/>
  </sheets>
  <definedNames>
    <definedName name="_xlnm.Print_Area" localSheetId="1">Request!$A$1:$S$200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5" i="2" l="1"/>
  <c r="N146" i="2" s="1"/>
  <c r="N9" i="2"/>
  <c r="N36" i="2" s="1"/>
  <c r="N10" i="2"/>
  <c r="N37" i="2" s="1"/>
  <c r="N11" i="2"/>
  <c r="N38" i="2" s="1"/>
  <c r="N12" i="2"/>
  <c r="N39" i="2" s="1"/>
  <c r="N13" i="2"/>
  <c r="N40" i="2" s="1"/>
  <c r="N14" i="2"/>
  <c r="N15" i="2"/>
  <c r="N8" i="2"/>
  <c r="N35" i="2" s="1"/>
  <c r="U7" i="2"/>
  <c r="N32" i="2" l="1"/>
  <c r="B36" i="2"/>
  <c r="B37" i="2"/>
  <c r="B38" i="2"/>
  <c r="B39" i="2"/>
  <c r="B40" i="2"/>
  <c r="O9" i="2" l="1"/>
  <c r="O10" i="2"/>
  <c r="O11" i="2"/>
  <c r="O12" i="2"/>
  <c r="O13" i="2"/>
  <c r="P9" i="2"/>
  <c r="P10" i="2"/>
  <c r="P37" i="2" s="1"/>
  <c r="P11" i="2"/>
  <c r="P12" i="2"/>
  <c r="P13" i="2"/>
  <c r="P8" i="2"/>
  <c r="O8" i="2"/>
  <c r="S203" i="2"/>
  <c r="O204" i="2"/>
  <c r="P204" i="2"/>
  <c r="N204" i="2"/>
  <c r="S204" i="2" l="1"/>
  <c r="S202" i="2" l="1"/>
  <c r="S141" i="2" l="1"/>
  <c r="P35" i="2" l="1"/>
  <c r="O35" i="2"/>
  <c r="E35" i="1" l="1"/>
  <c r="C1" i="1" l="1"/>
  <c r="B3" i="1"/>
  <c r="D160" i="1" l="1"/>
  <c r="E160" i="1"/>
  <c r="F160" i="1"/>
  <c r="G160" i="1"/>
  <c r="C160" i="1"/>
  <c r="H160" i="1" l="1"/>
  <c r="E43" i="1" l="1"/>
  <c r="F43" i="1" s="1"/>
  <c r="G43" i="1" s="1"/>
  <c r="H43" i="1" s="1"/>
  <c r="I43" i="1" s="1"/>
  <c r="J43" i="1" s="1"/>
  <c r="K43" i="1" s="1"/>
  <c r="L43" i="1" s="1"/>
  <c r="E42" i="1"/>
  <c r="F42" i="1" s="1"/>
  <c r="G42" i="1" s="1"/>
  <c r="H42" i="1" s="1"/>
  <c r="I42" i="1" s="1"/>
  <c r="J42" i="1" s="1"/>
  <c r="K42" i="1" s="1"/>
  <c r="L42" i="1" s="1"/>
  <c r="E41" i="1"/>
  <c r="F41" i="1" s="1"/>
  <c r="G41" i="1" s="1"/>
  <c r="H41" i="1" s="1"/>
  <c r="I41" i="1" s="1"/>
  <c r="J41" i="1" s="1"/>
  <c r="K41" i="1" s="1"/>
  <c r="L41" i="1" s="1"/>
  <c r="E40" i="1"/>
  <c r="F40" i="1" s="1"/>
  <c r="G40" i="1" s="1"/>
  <c r="H40" i="1" s="1"/>
  <c r="I40" i="1" s="1"/>
  <c r="J40" i="1" s="1"/>
  <c r="K40" i="1" s="1"/>
  <c r="L40" i="1" s="1"/>
  <c r="E39" i="1"/>
  <c r="F39" i="1" s="1"/>
  <c r="G39" i="1" s="1"/>
  <c r="H39" i="1" s="1"/>
  <c r="I39" i="1" s="1"/>
  <c r="J39" i="1" s="1"/>
  <c r="K39" i="1" s="1"/>
  <c r="L39" i="1" s="1"/>
  <c r="E38" i="1"/>
  <c r="F38" i="1" s="1"/>
  <c r="G38" i="1" s="1"/>
  <c r="H38" i="1" s="1"/>
  <c r="I38" i="1" s="1"/>
  <c r="J38" i="1" s="1"/>
  <c r="K38" i="1" s="1"/>
  <c r="L38" i="1" s="1"/>
  <c r="E37" i="1"/>
  <c r="F37" i="1" s="1"/>
  <c r="G37" i="1" s="1"/>
  <c r="H37" i="1" s="1"/>
  <c r="I37" i="1" s="1"/>
  <c r="J37" i="1" s="1"/>
  <c r="K37" i="1" s="1"/>
  <c r="L37" i="1" s="1"/>
  <c r="E36" i="1"/>
  <c r="F36" i="1" s="1"/>
  <c r="G36" i="1" s="1"/>
  <c r="H36" i="1" s="1"/>
  <c r="I36" i="1" s="1"/>
  <c r="J36" i="1" s="1"/>
  <c r="K36" i="1" s="1"/>
  <c r="L36" i="1" s="1"/>
  <c r="F35" i="1"/>
  <c r="G35" i="1" s="1"/>
  <c r="H35" i="1" s="1"/>
  <c r="I35" i="1" s="1"/>
  <c r="J35" i="1" s="1"/>
  <c r="K35" i="1" s="1"/>
  <c r="L35" i="1" s="1"/>
  <c r="O84" i="2" l="1"/>
  <c r="P84" i="2"/>
  <c r="Q84" i="2"/>
  <c r="R84" i="2"/>
  <c r="N84" i="2"/>
  <c r="O83" i="2"/>
  <c r="P83" i="2"/>
  <c r="Q83" i="2"/>
  <c r="R83" i="2"/>
  <c r="N83" i="2"/>
  <c r="N117" i="2" l="1"/>
  <c r="O85" i="2"/>
  <c r="P85" i="2"/>
  <c r="Q85" i="2"/>
  <c r="R85" i="2"/>
  <c r="N85" i="2"/>
  <c r="S122" i="2" l="1"/>
  <c r="S123" i="2"/>
  <c r="S124" i="2"/>
  <c r="S125" i="2"/>
  <c r="S126" i="2"/>
  <c r="S127" i="2"/>
  <c r="S128" i="2"/>
  <c r="S129" i="2"/>
  <c r="S130" i="2"/>
  <c r="O136" i="2" l="1"/>
  <c r="P136" i="2"/>
  <c r="Q136" i="2"/>
  <c r="R136" i="2"/>
  <c r="S136" i="2" l="1"/>
  <c r="G109" i="1"/>
  <c r="F106" i="1"/>
  <c r="G107" i="1"/>
  <c r="C106" i="1"/>
  <c r="D105" i="1"/>
  <c r="E105" i="1"/>
  <c r="F105" i="1"/>
  <c r="G105" i="1"/>
  <c r="D106" i="1"/>
  <c r="E106" i="1"/>
  <c r="G106" i="1"/>
  <c r="D107" i="1"/>
  <c r="E107" i="1"/>
  <c r="F107" i="1"/>
  <c r="D108" i="1"/>
  <c r="E108" i="1"/>
  <c r="F108" i="1"/>
  <c r="D109" i="1"/>
  <c r="E109" i="1"/>
  <c r="F109" i="1"/>
  <c r="D110" i="1"/>
  <c r="E110" i="1"/>
  <c r="F110" i="1"/>
  <c r="G110" i="1"/>
  <c r="D111" i="1"/>
  <c r="E111" i="1"/>
  <c r="F111" i="1"/>
  <c r="G111" i="1"/>
  <c r="D112" i="1"/>
  <c r="E112" i="1"/>
  <c r="F112" i="1"/>
  <c r="G112" i="1"/>
  <c r="D113" i="1"/>
  <c r="E113" i="1"/>
  <c r="F113" i="1"/>
  <c r="G113" i="1"/>
  <c r="D114" i="1"/>
  <c r="E114" i="1"/>
  <c r="F114" i="1"/>
  <c r="G114" i="1"/>
  <c r="D115" i="1"/>
  <c r="E115" i="1"/>
  <c r="F115" i="1"/>
  <c r="G115" i="1"/>
  <c r="D116" i="1"/>
  <c r="E116" i="1"/>
  <c r="F116" i="1"/>
  <c r="G116" i="1"/>
  <c r="D117" i="1"/>
  <c r="E117" i="1"/>
  <c r="F117" i="1"/>
  <c r="G117" i="1"/>
  <c r="D118" i="1"/>
  <c r="E118" i="1"/>
  <c r="F118" i="1"/>
  <c r="G118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05" i="1"/>
  <c r="D104" i="1"/>
  <c r="E104" i="1"/>
  <c r="F104" i="1"/>
  <c r="G104" i="1"/>
  <c r="C104" i="1"/>
  <c r="B105" i="1"/>
  <c r="G108" i="1" l="1"/>
  <c r="H108" i="1" s="1"/>
  <c r="H115" i="1"/>
  <c r="H117" i="1"/>
  <c r="H114" i="1"/>
  <c r="H113" i="1"/>
  <c r="H111" i="1"/>
  <c r="H110" i="1"/>
  <c r="H109" i="1"/>
  <c r="H107" i="1"/>
  <c r="H106" i="1"/>
  <c r="H118" i="1"/>
  <c r="H105" i="1"/>
  <c r="H116" i="1"/>
  <c r="H112" i="1"/>
  <c r="A329" i="1" l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28" i="1"/>
  <c r="C163" i="1" l="1"/>
  <c r="D163" i="1" s="1"/>
  <c r="C165" i="1"/>
  <c r="D165" i="1" s="1"/>
  <c r="C166" i="1"/>
  <c r="D166" i="1" s="1"/>
  <c r="C167" i="1"/>
  <c r="D167" i="1" s="1"/>
  <c r="C168" i="1"/>
  <c r="D168" i="1" s="1"/>
  <c r="C169" i="1"/>
  <c r="D169" i="1" s="1"/>
  <c r="C170" i="1"/>
  <c r="D170" i="1" s="1"/>
  <c r="C171" i="1"/>
  <c r="D171" i="1" s="1"/>
  <c r="C172" i="1"/>
  <c r="D172" i="1" s="1"/>
  <c r="C173" i="1"/>
  <c r="D173" i="1" s="1"/>
  <c r="C162" i="1"/>
  <c r="D162" i="1" s="1"/>
  <c r="B163" i="1"/>
  <c r="B164" i="1"/>
  <c r="B165" i="1"/>
  <c r="B166" i="1"/>
  <c r="B167" i="1"/>
  <c r="B168" i="1"/>
  <c r="B169" i="1"/>
  <c r="B170" i="1"/>
  <c r="B171" i="1"/>
  <c r="B172" i="1"/>
  <c r="B173" i="1"/>
  <c r="B162" i="1"/>
  <c r="A172" i="1"/>
  <c r="A173" i="1"/>
  <c r="A163" i="1"/>
  <c r="A164" i="1"/>
  <c r="A165" i="1"/>
  <c r="A166" i="1"/>
  <c r="A167" i="1"/>
  <c r="A168" i="1"/>
  <c r="A169" i="1"/>
  <c r="A170" i="1"/>
  <c r="A171" i="1"/>
  <c r="B15" i="1" l="1"/>
  <c r="S182" i="2" l="1"/>
  <c r="S183" i="2"/>
  <c r="S184" i="2"/>
  <c r="S185" i="2"/>
  <c r="S186" i="2"/>
  <c r="S187" i="2"/>
  <c r="S180" i="2"/>
  <c r="S1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82" i="2" l="1"/>
  <c r="S83" i="2"/>
  <c r="C164" i="1" l="1"/>
  <c r="D164" i="1" s="1"/>
  <c r="B2" i="1"/>
  <c r="B5" i="1" s="1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42" i="2"/>
  <c r="B41" i="2"/>
  <c r="B35" i="2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18" i="1"/>
  <c r="B218" i="1" s="1"/>
  <c r="N72" i="2"/>
  <c r="S62" i="2"/>
  <c r="S74" i="2" s="1"/>
  <c r="S87" i="2" s="1"/>
  <c r="S119" i="2" s="1"/>
  <c r="S138" i="2" s="1"/>
  <c r="O34" i="2"/>
  <c r="P34" i="2"/>
  <c r="Q34" i="2"/>
  <c r="R34" i="2"/>
  <c r="N34" i="2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A178" i="1"/>
  <c r="A219" i="1" s="1"/>
  <c r="A249" i="1" s="1"/>
  <c r="A276" i="1" s="1"/>
  <c r="A302" i="1" s="1"/>
  <c r="A179" i="1"/>
  <c r="A220" i="1" s="1"/>
  <c r="A250" i="1" s="1"/>
  <c r="A277" i="1" s="1"/>
  <c r="A303" i="1" s="1"/>
  <c r="A180" i="1"/>
  <c r="A221" i="1" s="1"/>
  <c r="A251" i="1" s="1"/>
  <c r="A278" i="1" s="1"/>
  <c r="A304" i="1" s="1"/>
  <c r="A181" i="1"/>
  <c r="A222" i="1" s="1"/>
  <c r="A252" i="1" s="1"/>
  <c r="A279" i="1" s="1"/>
  <c r="A305" i="1" s="1"/>
  <c r="A182" i="1"/>
  <c r="A223" i="1" s="1"/>
  <c r="A253" i="1" s="1"/>
  <c r="A280" i="1" s="1"/>
  <c r="A306" i="1" s="1"/>
  <c r="A183" i="1"/>
  <c r="A224" i="1" s="1"/>
  <c r="A254" i="1" s="1"/>
  <c r="A281" i="1" s="1"/>
  <c r="A307" i="1" s="1"/>
  <c r="A184" i="1"/>
  <c r="A225" i="1" s="1"/>
  <c r="A255" i="1" s="1"/>
  <c r="A282" i="1" s="1"/>
  <c r="A308" i="1" s="1"/>
  <c r="A185" i="1"/>
  <c r="A226" i="1" s="1"/>
  <c r="A256" i="1" s="1"/>
  <c r="A283" i="1" s="1"/>
  <c r="A309" i="1" s="1"/>
  <c r="A186" i="1"/>
  <c r="A227" i="1" s="1"/>
  <c r="A257" i="1" s="1"/>
  <c r="A284" i="1" s="1"/>
  <c r="A310" i="1" s="1"/>
  <c r="A187" i="1"/>
  <c r="A228" i="1" s="1"/>
  <c r="A258" i="1" s="1"/>
  <c r="A285" i="1" s="1"/>
  <c r="A311" i="1" s="1"/>
  <c r="A188" i="1"/>
  <c r="A229" i="1" s="1"/>
  <c r="A259" i="1" s="1"/>
  <c r="A286" i="1" s="1"/>
  <c r="A312" i="1" s="1"/>
  <c r="A189" i="1"/>
  <c r="A230" i="1" s="1"/>
  <c r="A260" i="1" s="1"/>
  <c r="A287" i="1" s="1"/>
  <c r="A313" i="1" s="1"/>
  <c r="A190" i="1"/>
  <c r="A231" i="1" s="1"/>
  <c r="A261" i="1" s="1"/>
  <c r="A288" i="1" s="1"/>
  <c r="A314" i="1" s="1"/>
  <c r="A191" i="1"/>
  <c r="A232" i="1" s="1"/>
  <c r="A262" i="1" s="1"/>
  <c r="A289" i="1" s="1"/>
  <c r="A315" i="1" s="1"/>
  <c r="A192" i="1"/>
  <c r="A233" i="1" s="1"/>
  <c r="A263" i="1" s="1"/>
  <c r="A290" i="1" s="1"/>
  <c r="A316" i="1" s="1"/>
  <c r="A193" i="1"/>
  <c r="A234" i="1" s="1"/>
  <c r="A264" i="1" s="1"/>
  <c r="A291" i="1" s="1"/>
  <c r="A317" i="1" s="1"/>
  <c r="A194" i="1"/>
  <c r="A235" i="1" s="1"/>
  <c r="A265" i="1" s="1"/>
  <c r="A292" i="1" s="1"/>
  <c r="A318" i="1" s="1"/>
  <c r="A195" i="1"/>
  <c r="A236" i="1" s="1"/>
  <c r="A266" i="1" s="1"/>
  <c r="A293" i="1" s="1"/>
  <c r="A319" i="1" s="1"/>
  <c r="A196" i="1"/>
  <c r="A237" i="1" s="1"/>
  <c r="A267" i="1" s="1"/>
  <c r="A294" i="1" s="1"/>
  <c r="A320" i="1" s="1"/>
  <c r="A197" i="1"/>
  <c r="A238" i="1" s="1"/>
  <c r="A268" i="1" s="1"/>
  <c r="A295" i="1" s="1"/>
  <c r="A321" i="1" s="1"/>
  <c r="A198" i="1"/>
  <c r="A239" i="1" s="1"/>
  <c r="A269" i="1" s="1"/>
  <c r="A296" i="1" s="1"/>
  <c r="A322" i="1" s="1"/>
  <c r="A199" i="1"/>
  <c r="A240" i="1" s="1"/>
  <c r="A270" i="1" s="1"/>
  <c r="A297" i="1" s="1"/>
  <c r="A323" i="1" s="1"/>
  <c r="A200" i="1"/>
  <c r="A241" i="1" s="1"/>
  <c r="A271" i="1" s="1"/>
  <c r="A298" i="1" s="1"/>
  <c r="A324" i="1" s="1"/>
  <c r="A177" i="1"/>
  <c r="A218" i="1" s="1"/>
  <c r="A248" i="1" s="1"/>
  <c r="A275" i="1" s="1"/>
  <c r="A301" i="1" s="1"/>
  <c r="B161" i="1"/>
  <c r="A162" i="1"/>
  <c r="S193" i="2"/>
  <c r="S192" i="2"/>
  <c r="S191" i="2"/>
  <c r="S190" i="2"/>
  <c r="S189" i="2"/>
  <c r="S179" i="2"/>
  <c r="S177" i="2"/>
  <c r="S176" i="2"/>
  <c r="S175" i="2"/>
  <c r="S174" i="2"/>
  <c r="S173" i="2"/>
  <c r="S172" i="2"/>
  <c r="S171" i="2"/>
  <c r="S168" i="2"/>
  <c r="S167" i="2"/>
  <c r="S166" i="2"/>
  <c r="S165" i="2"/>
  <c r="S164" i="2"/>
  <c r="I91" i="1"/>
  <c r="J91" i="1"/>
  <c r="K91" i="1"/>
  <c r="B140" i="1"/>
  <c r="B141" i="1"/>
  <c r="B142" i="1"/>
  <c r="B143" i="1"/>
  <c r="B144" i="1"/>
  <c r="B145" i="1"/>
  <c r="D145" i="1" s="1"/>
  <c r="B146" i="1"/>
  <c r="B147" i="1"/>
  <c r="B148" i="1"/>
  <c r="B149" i="1"/>
  <c r="F149" i="1" s="1"/>
  <c r="B150" i="1"/>
  <c r="B151" i="1"/>
  <c r="D151" i="1" s="1"/>
  <c r="B152" i="1"/>
  <c r="B153" i="1"/>
  <c r="F153" i="1" s="1"/>
  <c r="B139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B122" i="1"/>
  <c r="B123" i="1"/>
  <c r="B124" i="1"/>
  <c r="B125" i="1"/>
  <c r="B126" i="1"/>
  <c r="B127" i="1"/>
  <c r="F127" i="1" s="1"/>
  <c r="B128" i="1"/>
  <c r="B129" i="1"/>
  <c r="B130" i="1"/>
  <c r="B131" i="1"/>
  <c r="B132" i="1"/>
  <c r="B133" i="1"/>
  <c r="D133" i="1" s="1"/>
  <c r="B134" i="1"/>
  <c r="B135" i="1"/>
  <c r="B121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B106" i="1"/>
  <c r="B107" i="1"/>
  <c r="B108" i="1"/>
  <c r="B109" i="1"/>
  <c r="B110" i="1"/>
  <c r="C127" i="1" s="1"/>
  <c r="B111" i="1"/>
  <c r="B112" i="1"/>
  <c r="B113" i="1"/>
  <c r="B114" i="1"/>
  <c r="C131" i="1" s="1"/>
  <c r="B115" i="1"/>
  <c r="B116" i="1"/>
  <c r="C133" i="1" s="1"/>
  <c r="B117" i="1"/>
  <c r="B118" i="1"/>
  <c r="C135" i="1" s="1"/>
  <c r="B104" i="1"/>
  <c r="A117" i="1"/>
  <c r="A118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04" i="1"/>
  <c r="C91" i="1"/>
  <c r="D91" i="1"/>
  <c r="E91" i="1"/>
  <c r="F91" i="1"/>
  <c r="G91" i="1"/>
  <c r="H91" i="1"/>
  <c r="B91" i="1"/>
  <c r="R145" i="2"/>
  <c r="Q145" i="2"/>
  <c r="S144" i="2"/>
  <c r="S143" i="2"/>
  <c r="S142" i="2"/>
  <c r="S140" i="2"/>
  <c r="S139" i="2"/>
  <c r="S121" i="2"/>
  <c r="S131" i="2"/>
  <c r="S132" i="2"/>
  <c r="S133" i="2"/>
  <c r="S134" i="2"/>
  <c r="R135" i="2"/>
  <c r="Q135" i="2"/>
  <c r="P135" i="2"/>
  <c r="O135" i="2"/>
  <c r="S120" i="2"/>
  <c r="R117" i="2"/>
  <c r="Q117" i="2"/>
  <c r="P117" i="2"/>
  <c r="O117" i="2"/>
  <c r="S116" i="2"/>
  <c r="S115" i="2"/>
  <c r="S114" i="2"/>
  <c r="S113" i="2"/>
  <c r="S112" i="2"/>
  <c r="S88" i="2"/>
  <c r="S84" i="2"/>
  <c r="S81" i="2"/>
  <c r="S80" i="2"/>
  <c r="S79" i="2"/>
  <c r="S78" i="2"/>
  <c r="S77" i="2"/>
  <c r="S76" i="2"/>
  <c r="S75" i="2"/>
  <c r="O72" i="2"/>
  <c r="P72" i="2"/>
  <c r="Q72" i="2"/>
  <c r="R72" i="2"/>
  <c r="S63" i="2"/>
  <c r="S65" i="2"/>
  <c r="S64" i="2"/>
  <c r="S67" i="2"/>
  <c r="S66" i="2"/>
  <c r="S68" i="2"/>
  <c r="S70" i="2"/>
  <c r="S69" i="2"/>
  <c r="S71" i="2"/>
  <c r="C2" i="1" l="1"/>
  <c r="C11" i="1" s="1"/>
  <c r="C12" i="1" s="1"/>
  <c r="Q146" i="2"/>
  <c r="O146" i="2"/>
  <c r="S85" i="2"/>
  <c r="P146" i="2"/>
  <c r="R146" i="2"/>
  <c r="F151" i="1"/>
  <c r="C151" i="1"/>
  <c r="S145" i="2"/>
  <c r="S135" i="2"/>
  <c r="C125" i="1"/>
  <c r="C145" i="1"/>
  <c r="F145" i="1"/>
  <c r="E140" i="1"/>
  <c r="S117" i="2"/>
  <c r="C130" i="1"/>
  <c r="C149" i="1"/>
  <c r="G141" i="1"/>
  <c r="C126" i="1"/>
  <c r="C122" i="1"/>
  <c r="C147" i="1"/>
  <c r="S72" i="2"/>
  <c r="C134" i="1"/>
  <c r="G153" i="1"/>
  <c r="D148" i="1"/>
  <c r="F144" i="1"/>
  <c r="G140" i="1"/>
  <c r="C141" i="1"/>
  <c r="D141" i="1"/>
  <c r="E149" i="1"/>
  <c r="D149" i="1"/>
  <c r="G144" i="1"/>
  <c r="D144" i="1"/>
  <c r="F150" i="1"/>
  <c r="F148" i="1"/>
  <c r="E130" i="1"/>
  <c r="G151" i="1"/>
  <c r="E133" i="1"/>
  <c r="C129" i="1"/>
  <c r="D140" i="1"/>
  <c r="E142" i="1"/>
  <c r="B19" i="1"/>
  <c r="E132" i="1"/>
  <c r="D129" i="1"/>
  <c r="C144" i="1"/>
  <c r="E148" i="1"/>
  <c r="E144" i="1"/>
  <c r="E139" i="1"/>
  <c r="E151" i="1"/>
  <c r="G133" i="1"/>
  <c r="G128" i="1"/>
  <c r="F133" i="1"/>
  <c r="C148" i="1"/>
  <c r="G148" i="1"/>
  <c r="F140" i="1"/>
  <c r="G139" i="1"/>
  <c r="D150" i="1"/>
  <c r="E143" i="1"/>
  <c r="C143" i="1"/>
  <c r="G143" i="1"/>
  <c r="E121" i="1"/>
  <c r="E124" i="1"/>
  <c r="F152" i="1"/>
  <c r="G152" i="1"/>
  <c r="C152" i="1"/>
  <c r="D152" i="1"/>
  <c r="C146" i="1"/>
  <c r="C142" i="1"/>
  <c r="G142" i="1"/>
  <c r="B4" i="1"/>
  <c r="C128" i="1"/>
  <c r="C124" i="1"/>
  <c r="G150" i="1"/>
  <c r="F147" i="1"/>
  <c r="F146" i="1"/>
  <c r="F135" i="1"/>
  <c r="G135" i="1"/>
  <c r="E141" i="1"/>
  <c r="C132" i="1"/>
  <c r="H104" i="1"/>
  <c r="C123" i="1"/>
  <c r="E150" i="1"/>
  <c r="G149" i="1"/>
  <c r="E152" i="1"/>
  <c r="E129" i="1"/>
  <c r="F129" i="1"/>
  <c r="F143" i="1"/>
  <c r="F125" i="1"/>
  <c r="F141" i="1"/>
  <c r="G123" i="1"/>
  <c r="E134" i="1"/>
  <c r="D134" i="1"/>
  <c r="F134" i="1"/>
  <c r="G134" i="1"/>
  <c r="D130" i="1"/>
  <c r="F130" i="1"/>
  <c r="G130" i="1"/>
  <c r="F126" i="1"/>
  <c r="E126" i="1"/>
  <c r="G126" i="1"/>
  <c r="D126" i="1"/>
  <c r="D122" i="1"/>
  <c r="G122" i="1"/>
  <c r="F122" i="1"/>
  <c r="E122" i="1"/>
  <c r="G129" i="1"/>
  <c r="E128" i="1"/>
  <c r="F128" i="1"/>
  <c r="G121" i="1"/>
  <c r="F124" i="1"/>
  <c r="C140" i="1"/>
  <c r="G125" i="1"/>
  <c r="D125" i="1"/>
  <c r="D143" i="1"/>
  <c r="E125" i="1"/>
  <c r="D135" i="1"/>
  <c r="E135" i="1"/>
  <c r="D131" i="1"/>
  <c r="G131" i="1"/>
  <c r="E131" i="1"/>
  <c r="F131" i="1"/>
  <c r="D127" i="1"/>
  <c r="E127" i="1"/>
  <c r="G127" i="1"/>
  <c r="D123" i="1"/>
  <c r="F123" i="1"/>
  <c r="E123" i="1"/>
  <c r="E146" i="1"/>
  <c r="G146" i="1"/>
  <c r="D146" i="1"/>
  <c r="D142" i="1"/>
  <c r="F142" i="1"/>
  <c r="G132" i="1"/>
  <c r="D139" i="1"/>
  <c r="F139" i="1"/>
  <c r="C139" i="1"/>
  <c r="D132" i="1"/>
  <c r="C121" i="1"/>
  <c r="D121" i="1"/>
  <c r="F121" i="1"/>
  <c r="F132" i="1"/>
  <c r="D128" i="1"/>
  <c r="D124" i="1"/>
  <c r="G124" i="1"/>
  <c r="D153" i="1"/>
  <c r="E153" i="1"/>
  <c r="C153" i="1"/>
  <c r="C150" i="1"/>
  <c r="E147" i="1"/>
  <c r="G147" i="1"/>
  <c r="D147" i="1"/>
  <c r="E145" i="1"/>
  <c r="G145" i="1"/>
  <c r="B23" i="1"/>
  <c r="C4" i="1" l="1"/>
  <c r="B50" i="1" s="1"/>
  <c r="C3" i="1"/>
  <c r="E208" i="1"/>
  <c r="E209" i="1" s="1"/>
  <c r="E206" i="1"/>
  <c r="E207" i="1" s="1"/>
  <c r="C25" i="1"/>
  <c r="C26" i="1" s="1"/>
  <c r="N4" i="2"/>
  <c r="S146" i="2"/>
  <c r="H140" i="1"/>
  <c r="H151" i="1"/>
  <c r="H144" i="1"/>
  <c r="H133" i="1"/>
  <c r="H149" i="1"/>
  <c r="H148" i="1"/>
  <c r="H129" i="1"/>
  <c r="H147" i="1"/>
  <c r="H153" i="1"/>
  <c r="H142" i="1"/>
  <c r="H128" i="1"/>
  <c r="H152" i="1"/>
  <c r="H146" i="1"/>
  <c r="H127" i="1"/>
  <c r="H131" i="1"/>
  <c r="H143" i="1"/>
  <c r="H126" i="1"/>
  <c r="H141" i="1"/>
  <c r="H132" i="1"/>
  <c r="G154" i="1"/>
  <c r="H123" i="1"/>
  <c r="H125" i="1"/>
  <c r="H150" i="1"/>
  <c r="F136" i="1"/>
  <c r="H135" i="1"/>
  <c r="H122" i="1"/>
  <c r="E136" i="1"/>
  <c r="H130" i="1"/>
  <c r="H134" i="1"/>
  <c r="H124" i="1"/>
  <c r="D136" i="1"/>
  <c r="C154" i="1"/>
  <c r="H139" i="1"/>
  <c r="C136" i="1"/>
  <c r="H121" i="1"/>
  <c r="F154" i="1"/>
  <c r="G136" i="1"/>
  <c r="E154" i="1"/>
  <c r="H145" i="1"/>
  <c r="D154" i="1"/>
  <c r="B47" i="1" l="1"/>
  <c r="B52" i="1"/>
  <c r="B56" i="1" s="1"/>
  <c r="B247" i="1" s="1"/>
  <c r="B54" i="1"/>
  <c r="B86" i="1"/>
  <c r="B97" i="1" s="1"/>
  <c r="B49" i="1"/>
  <c r="B48" i="1"/>
  <c r="B53" i="1"/>
  <c r="B89" i="1"/>
  <c r="B55" i="1"/>
  <c r="B88" i="1"/>
  <c r="C8" i="1"/>
  <c r="C6" i="1" s="1"/>
  <c r="C17" i="1" s="1"/>
  <c r="B51" i="1"/>
  <c r="C5" i="1"/>
  <c r="B177" i="1" s="1"/>
  <c r="H177" i="1" s="1"/>
  <c r="H154" i="1"/>
  <c r="H136" i="1"/>
  <c r="C18" i="1" l="1"/>
  <c r="B16" i="1"/>
  <c r="C21" i="1" l="1"/>
  <c r="B17" i="1"/>
  <c r="B18" i="1" s="1"/>
  <c r="C22" i="1" l="1"/>
  <c r="B20" i="1"/>
  <c r="B21" i="1" l="1"/>
  <c r="B22" i="1" s="1"/>
  <c r="B24" i="1" s="1"/>
  <c r="E167" i="1" l="1"/>
  <c r="F167" i="1" s="1"/>
  <c r="G167" i="1" s="1"/>
  <c r="E172" i="1"/>
  <c r="E163" i="1"/>
  <c r="F163" i="1" s="1"/>
  <c r="G163" i="1" s="1"/>
  <c r="H163" i="1" s="1"/>
  <c r="I163" i="1" s="1"/>
  <c r="J163" i="1" s="1"/>
  <c r="E171" i="1"/>
  <c r="E165" i="1"/>
  <c r="F165" i="1" s="1"/>
  <c r="G165" i="1" s="1"/>
  <c r="E166" i="1"/>
  <c r="F166" i="1" s="1"/>
  <c r="G166" i="1" s="1"/>
  <c r="E164" i="1"/>
  <c r="F164" i="1" s="1"/>
  <c r="G164" i="1" s="1"/>
  <c r="E169" i="1"/>
  <c r="F169" i="1" s="1"/>
  <c r="G169" i="1" s="1"/>
  <c r="E162" i="1"/>
  <c r="F162" i="1" s="1"/>
  <c r="G162" i="1" s="1"/>
  <c r="H162" i="1" s="1"/>
  <c r="I162" i="1" s="1"/>
  <c r="J162" i="1" s="1"/>
  <c r="E170" i="1"/>
  <c r="E168" i="1"/>
  <c r="F168" i="1" s="1"/>
  <c r="G168" i="1" s="1"/>
  <c r="E173" i="1"/>
  <c r="F173" i="1" s="1"/>
  <c r="G173" i="1" s="1"/>
  <c r="F172" i="1" l="1"/>
  <c r="G172" i="1" s="1"/>
  <c r="H172" i="1" s="1"/>
  <c r="I172" i="1" s="1"/>
  <c r="J172" i="1" s="1"/>
  <c r="F171" i="1"/>
  <c r="G171" i="1" s="1"/>
  <c r="H171" i="1" s="1"/>
  <c r="I171" i="1" s="1"/>
  <c r="J171" i="1" s="1"/>
  <c r="F170" i="1"/>
  <c r="G170" i="1" s="1"/>
  <c r="H170" i="1" s="1"/>
  <c r="I170" i="1" s="1"/>
  <c r="J170" i="1" s="1"/>
  <c r="H167" i="1"/>
  <c r="I167" i="1" s="1"/>
  <c r="J167" i="1" s="1"/>
  <c r="H173" i="1"/>
  <c r="I173" i="1" s="1"/>
  <c r="J173" i="1" s="1"/>
  <c r="H166" i="1"/>
  <c r="I166" i="1" s="1"/>
  <c r="J166" i="1" s="1"/>
  <c r="H165" i="1"/>
  <c r="I165" i="1" s="1"/>
  <c r="J165" i="1" s="1"/>
  <c r="H164" i="1"/>
  <c r="I164" i="1" s="1"/>
  <c r="J164" i="1" s="1"/>
  <c r="H169" i="1"/>
  <c r="I169" i="1" s="1"/>
  <c r="J169" i="1" s="1"/>
  <c r="H168" i="1"/>
  <c r="I168" i="1" s="1"/>
  <c r="J168" i="1" s="1"/>
  <c r="S198" i="2" l="1"/>
  <c r="S6" i="2" l="1"/>
  <c r="S2" i="2" l="1"/>
  <c r="C28" i="1" l="1"/>
  <c r="D2" i="1"/>
  <c r="C19" i="1"/>
  <c r="D4" i="1" l="1"/>
  <c r="D3" i="1"/>
  <c r="F206" i="1"/>
  <c r="F208" i="1"/>
  <c r="D25" i="1"/>
  <c r="B178" i="1"/>
  <c r="H178" i="1" s="1"/>
  <c r="C27" i="1"/>
  <c r="C9" i="1"/>
  <c r="C7" i="1"/>
  <c r="E210" i="1" l="1"/>
  <c r="C29" i="1"/>
  <c r="K169" i="1" s="1"/>
  <c r="C89" i="1"/>
  <c r="D52" i="1"/>
  <c r="D56" i="1" s="1"/>
  <c r="D247" i="1" s="1"/>
  <c r="D5" i="1"/>
  <c r="O37" i="2" s="1"/>
  <c r="D53" i="1"/>
  <c r="F209" i="1"/>
  <c r="D49" i="1"/>
  <c r="D26" i="1"/>
  <c r="D11" i="1"/>
  <c r="D51" i="1"/>
  <c r="D86" i="1"/>
  <c r="D97" i="1" s="1"/>
  <c r="D50" i="1"/>
  <c r="D47" i="1"/>
  <c r="D89" i="1"/>
  <c r="D88" i="1"/>
  <c r="D48" i="1"/>
  <c r="D54" i="1"/>
  <c r="D55" i="1"/>
  <c r="D8" i="1"/>
  <c r="F207" i="1"/>
  <c r="C10" i="1"/>
  <c r="C13" i="1"/>
  <c r="E212" i="1"/>
  <c r="D19" i="1"/>
  <c r="E2" i="1"/>
  <c r="E3" i="1" s="1"/>
  <c r="C48" i="1"/>
  <c r="B60" i="1" s="1"/>
  <c r="C55" i="1"/>
  <c r="B67" i="1" s="1"/>
  <c r="C51" i="1"/>
  <c r="B63" i="1" s="1"/>
  <c r="C47" i="1"/>
  <c r="B59" i="1" s="1"/>
  <c r="C54" i="1"/>
  <c r="B66" i="1" s="1"/>
  <c r="C50" i="1"/>
  <c r="B62" i="1" s="1"/>
  <c r="C52" i="1"/>
  <c r="B64" i="1" s="1"/>
  <c r="C86" i="1"/>
  <c r="C97" i="1" s="1"/>
  <c r="C88" i="1"/>
  <c r="C53" i="1"/>
  <c r="B65" i="1" s="1"/>
  <c r="C49" i="1"/>
  <c r="B61" i="1" s="1"/>
  <c r="K168" i="1"/>
  <c r="B179" i="1"/>
  <c r="H179" i="1" s="1"/>
  <c r="K163" i="1"/>
  <c r="K170" i="1"/>
  <c r="K164" i="1"/>
  <c r="K173" i="1"/>
  <c r="K162" i="1"/>
  <c r="K171" i="1"/>
  <c r="K172" i="1"/>
  <c r="K166" i="1"/>
  <c r="K165" i="1"/>
  <c r="K167" i="1"/>
  <c r="C30" i="1" l="1"/>
  <c r="N159" i="2" s="1"/>
  <c r="E204" i="1"/>
  <c r="N16" i="2"/>
  <c r="D12" i="1"/>
  <c r="D27" i="1"/>
  <c r="D6" i="1"/>
  <c r="D18" i="1" s="1"/>
  <c r="B219" i="1"/>
  <c r="B249" i="1" s="1"/>
  <c r="B248" i="1"/>
  <c r="E19" i="1"/>
  <c r="F2" i="1"/>
  <c r="F3" i="1" s="1"/>
  <c r="F19" i="1" s="1"/>
  <c r="E4" i="1"/>
  <c r="E5" i="1" s="1"/>
  <c r="P2" i="2" s="1"/>
  <c r="B342" i="1"/>
  <c r="B339" i="1"/>
  <c r="B365" i="1" s="1"/>
  <c r="B343" i="1"/>
  <c r="B369" i="1" s="1"/>
  <c r="N18" i="2"/>
  <c r="N31" i="2"/>
  <c r="B332" i="1"/>
  <c r="N22" i="2"/>
  <c r="B341" i="1"/>
  <c r="B334" i="1"/>
  <c r="B360" i="1" s="1"/>
  <c r="B350" i="1"/>
  <c r="N30" i="2"/>
  <c r="O2" i="2"/>
  <c r="B333" i="1"/>
  <c r="B336" i="1"/>
  <c r="C14" i="1"/>
  <c r="N20" i="2"/>
  <c r="N23" i="2"/>
  <c r="G208" i="1"/>
  <c r="B344" i="1"/>
  <c r="B340" i="1"/>
  <c r="N24" i="2"/>
  <c r="B328" i="1"/>
  <c r="B354" i="1" s="1"/>
  <c r="E25" i="1"/>
  <c r="B337" i="1"/>
  <c r="B345" i="1"/>
  <c r="E213" i="1"/>
  <c r="B351" i="1"/>
  <c r="B377" i="1" s="1"/>
  <c r="B347" i="1"/>
  <c r="N28" i="2"/>
  <c r="B335" i="1"/>
  <c r="N26" i="2"/>
  <c r="G206" i="1"/>
  <c r="N21" i="2"/>
  <c r="D28" i="1"/>
  <c r="C177" i="1"/>
  <c r="I177" i="1" s="1"/>
  <c r="N27" i="2"/>
  <c r="B331" i="1"/>
  <c r="B346" i="1"/>
  <c r="B372" i="1" s="1"/>
  <c r="B330" i="1"/>
  <c r="B356" i="1" s="1"/>
  <c r="B338" i="1"/>
  <c r="E211" i="1"/>
  <c r="N19" i="2"/>
  <c r="B349" i="1"/>
  <c r="N29" i="2"/>
  <c r="B348" i="1"/>
  <c r="N17" i="2"/>
  <c r="B329" i="1"/>
  <c r="B355" i="1" s="1"/>
  <c r="N25" i="2"/>
  <c r="C56" i="1"/>
  <c r="B99" i="1"/>
  <c r="B220" i="1"/>
  <c r="B250" i="1" s="1"/>
  <c r="B180" i="1"/>
  <c r="H180" i="1" s="1"/>
  <c r="B401" i="1" l="1"/>
  <c r="B375" i="1"/>
  <c r="B397" i="1"/>
  <c r="B371" i="1"/>
  <c r="B393" i="1"/>
  <c r="B367" i="1"/>
  <c r="B396" i="1"/>
  <c r="B370" i="1"/>
  <c r="B384" i="1"/>
  <c r="B358" i="1"/>
  <c r="B399" i="1"/>
  <c r="B373" i="1"/>
  <c r="B389" i="1"/>
  <c r="B363" i="1"/>
  <c r="B388" i="1"/>
  <c r="B362" i="1"/>
  <c r="B390" i="1"/>
  <c r="B364" i="1"/>
  <c r="B387" i="1"/>
  <c r="B361" i="1"/>
  <c r="B400" i="1"/>
  <c r="B374" i="1"/>
  <c r="B383" i="1"/>
  <c r="B357" i="1"/>
  <c r="B392" i="1"/>
  <c r="B366" i="1"/>
  <c r="B385" i="1"/>
  <c r="B359" i="1"/>
  <c r="B402" i="1"/>
  <c r="B376" i="1"/>
  <c r="B394" i="1"/>
  <c r="B368" i="1"/>
  <c r="B403" i="1"/>
  <c r="B395" i="1"/>
  <c r="B386" i="1"/>
  <c r="B381" i="1"/>
  <c r="B382" i="1"/>
  <c r="B391" i="1"/>
  <c r="B398" i="1"/>
  <c r="B380" i="1"/>
  <c r="N158" i="2"/>
  <c r="D7" i="1"/>
  <c r="E49" i="1" s="1"/>
  <c r="C61" i="1" s="1"/>
  <c r="N152" i="2"/>
  <c r="N160" i="2"/>
  <c r="N154" i="2"/>
  <c r="N156" i="2"/>
  <c r="D9" i="1"/>
  <c r="N153" i="2"/>
  <c r="N162" i="2"/>
  <c r="N157" i="2"/>
  <c r="N151" i="2"/>
  <c r="N161" i="2"/>
  <c r="N155" i="2"/>
  <c r="D29" i="1"/>
  <c r="D30" i="1" s="1"/>
  <c r="E205" i="1"/>
  <c r="D17" i="1"/>
  <c r="C219" i="1"/>
  <c r="C249" i="1" s="1"/>
  <c r="C218" i="1"/>
  <c r="C248" i="1" s="1"/>
  <c r="H208" i="1"/>
  <c r="F4" i="1"/>
  <c r="H89" i="1" s="1"/>
  <c r="H206" i="1"/>
  <c r="E11" i="1"/>
  <c r="E12" i="1" s="1"/>
  <c r="F88" i="1"/>
  <c r="F54" i="1"/>
  <c r="F55" i="1"/>
  <c r="F48" i="1"/>
  <c r="F51" i="1"/>
  <c r="F52" i="1"/>
  <c r="F56" i="1" s="1"/>
  <c r="F247" i="1" s="1"/>
  <c r="E8" i="1"/>
  <c r="E6" i="1" s="1"/>
  <c r="E17" i="1" s="1"/>
  <c r="F50" i="1"/>
  <c r="F25" i="1"/>
  <c r="E26" i="1"/>
  <c r="E28" i="1" s="1"/>
  <c r="G207" i="1"/>
  <c r="F49" i="1"/>
  <c r="F89" i="1"/>
  <c r="F47" i="1"/>
  <c r="F53" i="1"/>
  <c r="F86" i="1"/>
  <c r="F97" i="1" s="1"/>
  <c r="G209" i="1"/>
  <c r="Q6" i="2"/>
  <c r="G2" i="1"/>
  <c r="G4" i="1" s="1"/>
  <c r="L167" i="1"/>
  <c r="L165" i="1"/>
  <c r="L168" i="1"/>
  <c r="L172" i="1"/>
  <c r="L162" i="1"/>
  <c r="C178" i="1"/>
  <c r="I178" i="1" s="1"/>
  <c r="L171" i="1"/>
  <c r="L169" i="1"/>
  <c r="L170" i="1"/>
  <c r="L173" i="1"/>
  <c r="L163" i="1"/>
  <c r="L164" i="1"/>
  <c r="L166" i="1"/>
  <c r="E27" i="1"/>
  <c r="D177" i="1"/>
  <c r="J177" i="1" s="1"/>
  <c r="C247" i="1"/>
  <c r="B68" i="1"/>
  <c r="B69" i="1" s="1"/>
  <c r="B70" i="1" s="1"/>
  <c r="B221" i="1"/>
  <c r="B251" i="1" s="1"/>
  <c r="B181" i="1"/>
  <c r="H181" i="1" s="1"/>
  <c r="C220" i="1"/>
  <c r="C250" i="1" s="1"/>
  <c r="O152" i="2" l="1"/>
  <c r="O160" i="2"/>
  <c r="O161" i="2"/>
  <c r="N194" i="2"/>
  <c r="O155" i="2"/>
  <c r="O159" i="2"/>
  <c r="O154" i="2"/>
  <c r="O153" i="2"/>
  <c r="O158" i="2"/>
  <c r="O162" i="2"/>
  <c r="O157" i="2"/>
  <c r="O156" i="2"/>
  <c r="F210" i="1"/>
  <c r="E48" i="1"/>
  <c r="C60" i="1" s="1"/>
  <c r="D10" i="1"/>
  <c r="D14" i="1" s="1"/>
  <c r="F205" i="1" s="1"/>
  <c r="E55" i="1"/>
  <c r="C67" i="1" s="1"/>
  <c r="E54" i="1"/>
  <c r="C66" i="1" s="1"/>
  <c r="E88" i="1"/>
  <c r="E89" i="1"/>
  <c r="E51" i="1"/>
  <c r="C63" i="1" s="1"/>
  <c r="E86" i="1"/>
  <c r="E97" i="1" s="1"/>
  <c r="E52" i="1"/>
  <c r="E56" i="1" s="1"/>
  <c r="E247" i="1" s="1"/>
  <c r="E50" i="1"/>
  <c r="C62" i="1" s="1"/>
  <c r="E47" i="1"/>
  <c r="C59" i="1" s="1"/>
  <c r="E53" i="1"/>
  <c r="C65" i="1" s="1"/>
  <c r="D13" i="1"/>
  <c r="F204" i="1" s="1"/>
  <c r="N150" i="2"/>
  <c r="F212" i="1"/>
  <c r="B276" i="1"/>
  <c r="D218" i="1"/>
  <c r="D248" i="1" s="1"/>
  <c r="H48" i="1"/>
  <c r="F5" i="1"/>
  <c r="Q10" i="2" s="1"/>
  <c r="H51" i="1"/>
  <c r="H55" i="1"/>
  <c r="H54" i="1"/>
  <c r="H207" i="1"/>
  <c r="H52" i="1"/>
  <c r="H56" i="1" s="1"/>
  <c r="H247" i="1" s="1"/>
  <c r="H86" i="1"/>
  <c r="H97" i="1" s="1"/>
  <c r="H88" i="1"/>
  <c r="F8" i="1"/>
  <c r="F6" i="1" s="1"/>
  <c r="F17" i="1" s="1"/>
  <c r="H53" i="1"/>
  <c r="H47" i="1"/>
  <c r="H209" i="1"/>
  <c r="F26" i="1"/>
  <c r="F28" i="1" s="1"/>
  <c r="H50" i="1"/>
  <c r="F11" i="1"/>
  <c r="F12" i="1" s="1"/>
  <c r="H49" i="1"/>
  <c r="G11" i="1"/>
  <c r="G12" i="1" s="1"/>
  <c r="J88" i="1"/>
  <c r="G3" i="1"/>
  <c r="G5" i="1" s="1"/>
  <c r="R10" i="2" s="1"/>
  <c r="E9" i="1"/>
  <c r="E18" i="1"/>
  <c r="E7" i="1"/>
  <c r="G55" i="1" s="1"/>
  <c r="D67" i="1" s="1"/>
  <c r="J54" i="1"/>
  <c r="J51" i="1"/>
  <c r="J48" i="1"/>
  <c r="G25" i="1"/>
  <c r="G26" i="1" s="1"/>
  <c r="J86" i="1"/>
  <c r="J97" i="1" s="1"/>
  <c r="G8" i="1"/>
  <c r="G6" i="1" s="1"/>
  <c r="G17" i="1" s="1"/>
  <c r="E29" i="1"/>
  <c r="M168" i="1" s="1"/>
  <c r="J55" i="1"/>
  <c r="J89" i="1"/>
  <c r="J50" i="1"/>
  <c r="J49" i="1"/>
  <c r="J53" i="1"/>
  <c r="J52" i="1"/>
  <c r="J47" i="1"/>
  <c r="I206" i="1"/>
  <c r="I207" i="1" s="1"/>
  <c r="I208" i="1"/>
  <c r="I209" i="1" s="1"/>
  <c r="B303" i="1"/>
  <c r="O151" i="2"/>
  <c r="C179" i="1"/>
  <c r="I179" i="1" s="1"/>
  <c r="B301" i="1"/>
  <c r="B275" i="1"/>
  <c r="D178" i="1"/>
  <c r="J178" i="1" s="1"/>
  <c r="B302" i="1"/>
  <c r="B277" i="1"/>
  <c r="C221" i="1"/>
  <c r="C251" i="1" s="1"/>
  <c r="B278" i="1" s="1"/>
  <c r="B182" i="1"/>
  <c r="H182" i="1" s="1"/>
  <c r="S10" i="2" l="1"/>
  <c r="D328" i="1"/>
  <c r="O36" i="2"/>
  <c r="D346" i="1"/>
  <c r="O28" i="2"/>
  <c r="O14" i="2"/>
  <c r="D330" i="1"/>
  <c r="O27" i="2"/>
  <c r="D332" i="1"/>
  <c r="D335" i="1"/>
  <c r="O17" i="2"/>
  <c r="F213" i="1"/>
  <c r="D337" i="1"/>
  <c r="D339" i="1"/>
  <c r="O15" i="2"/>
  <c r="O30" i="2"/>
  <c r="D334" i="1"/>
  <c r="D347" i="1"/>
  <c r="O24" i="2"/>
  <c r="O19" i="2"/>
  <c r="O16" i="2"/>
  <c r="D341" i="1"/>
  <c r="D336" i="1"/>
  <c r="D342" i="1"/>
  <c r="D331" i="1"/>
  <c r="D340" i="1"/>
  <c r="O31" i="2"/>
  <c r="O23" i="2"/>
  <c r="F211" i="1"/>
  <c r="D348" i="1"/>
  <c r="D338" i="1"/>
  <c r="D345" i="1"/>
  <c r="D350" i="1"/>
  <c r="O25" i="2"/>
  <c r="O29" i="2"/>
  <c r="O22" i="2"/>
  <c r="O18" i="2"/>
  <c r="C68" i="1"/>
  <c r="C69" i="1" s="1"/>
  <c r="C70" i="1" s="1"/>
  <c r="D349" i="1"/>
  <c r="D351" i="1"/>
  <c r="D343" i="1"/>
  <c r="D344" i="1"/>
  <c r="D333" i="1"/>
  <c r="D329" i="1"/>
  <c r="O20" i="2"/>
  <c r="O39" i="2"/>
  <c r="O26" i="2"/>
  <c r="O38" i="2"/>
  <c r="O21" i="2"/>
  <c r="D99" i="1"/>
  <c r="C64" i="1"/>
  <c r="E177" i="1"/>
  <c r="K177" i="1" s="1"/>
  <c r="E13" i="1"/>
  <c r="G204" i="1" s="1"/>
  <c r="B222" i="1"/>
  <c r="B252" i="1" s="1"/>
  <c r="D219" i="1"/>
  <c r="D249" i="1" s="1"/>
  <c r="H218" i="1"/>
  <c r="H248" i="1" s="1"/>
  <c r="F218" i="1"/>
  <c r="F248" i="1" s="1"/>
  <c r="E218" i="1"/>
  <c r="E248" i="1" s="1"/>
  <c r="Q2" i="2"/>
  <c r="F27" i="1"/>
  <c r="F29" i="1" s="1"/>
  <c r="N171" i="1" s="1"/>
  <c r="G212" i="1"/>
  <c r="G210" i="1"/>
  <c r="F9" i="1"/>
  <c r="G52" i="1"/>
  <c r="G56" i="1" s="1"/>
  <c r="F7" i="1"/>
  <c r="G50" i="1"/>
  <c r="D62" i="1" s="1"/>
  <c r="F18" i="1"/>
  <c r="G9" i="1"/>
  <c r="G53" i="1"/>
  <c r="D65" i="1" s="1"/>
  <c r="G49" i="1"/>
  <c r="D61" i="1" s="1"/>
  <c r="M166" i="1"/>
  <c r="G89" i="1"/>
  <c r="G54" i="1"/>
  <c r="D66" i="1" s="1"/>
  <c r="G47" i="1"/>
  <c r="D59" i="1" s="1"/>
  <c r="G48" i="1"/>
  <c r="D60" i="1" s="1"/>
  <c r="M173" i="1"/>
  <c r="G86" i="1"/>
  <c r="G97" i="1" s="1"/>
  <c r="G88" i="1"/>
  <c r="G51" i="1"/>
  <c r="D63" i="1" s="1"/>
  <c r="G7" i="1"/>
  <c r="K88" i="1" s="1"/>
  <c r="J56" i="1"/>
  <c r="G18" i="1"/>
  <c r="E30" i="1"/>
  <c r="P157" i="2" s="1"/>
  <c r="M171" i="1"/>
  <c r="M169" i="1"/>
  <c r="M163" i="1"/>
  <c r="M164" i="1"/>
  <c r="M167" i="1"/>
  <c r="M162" i="1"/>
  <c r="M170" i="1"/>
  <c r="G19" i="1"/>
  <c r="R6" i="2"/>
  <c r="M172" i="1"/>
  <c r="M165" i="1"/>
  <c r="G28" i="1"/>
  <c r="E10" i="1"/>
  <c r="P24" i="2" s="1"/>
  <c r="F177" i="1"/>
  <c r="L177" i="1" s="1"/>
  <c r="R2" i="2"/>
  <c r="G27" i="1"/>
  <c r="O194" i="2"/>
  <c r="O150" i="2"/>
  <c r="C180" i="1"/>
  <c r="I180" i="1" s="1"/>
  <c r="D179" i="1"/>
  <c r="J179" i="1" s="1"/>
  <c r="B304" i="1"/>
  <c r="B183" i="1"/>
  <c r="H183" i="1" s="1"/>
  <c r="P153" i="2" l="1"/>
  <c r="F328" i="1"/>
  <c r="D377" i="1"/>
  <c r="D403" i="1"/>
  <c r="D376" i="1"/>
  <c r="D402" i="1"/>
  <c r="D396" i="1"/>
  <c r="D370" i="1"/>
  <c r="D364" i="1"/>
  <c r="D390" i="1"/>
  <c r="D357" i="1"/>
  <c r="D383" i="1"/>
  <c r="D373" i="1"/>
  <c r="D399" i="1"/>
  <c r="D391" i="1"/>
  <c r="D365" i="1"/>
  <c r="D361" i="1"/>
  <c r="D387" i="1"/>
  <c r="D369" i="1"/>
  <c r="D395" i="1"/>
  <c r="D400" i="1"/>
  <c r="D374" i="1"/>
  <c r="D368" i="1"/>
  <c r="D394" i="1"/>
  <c r="D360" i="1"/>
  <c r="D386" i="1"/>
  <c r="D389" i="1"/>
  <c r="D363" i="1"/>
  <c r="D384" i="1"/>
  <c r="D358" i="1"/>
  <c r="D380" i="1"/>
  <c r="D354" i="1"/>
  <c r="D355" i="1"/>
  <c r="D381" i="1"/>
  <c r="D388" i="1"/>
  <c r="D362" i="1"/>
  <c r="D385" i="1"/>
  <c r="D359" i="1"/>
  <c r="D375" i="1"/>
  <c r="D401" i="1"/>
  <c r="D397" i="1"/>
  <c r="D371" i="1"/>
  <c r="D392" i="1"/>
  <c r="D366" i="1"/>
  <c r="D393" i="1"/>
  <c r="D367" i="1"/>
  <c r="D356" i="1"/>
  <c r="D382" i="1"/>
  <c r="D372" i="1"/>
  <c r="D398" i="1"/>
  <c r="D301" i="1"/>
  <c r="O32" i="2"/>
  <c r="E178" i="1"/>
  <c r="K178" i="1" s="1"/>
  <c r="F329" i="1"/>
  <c r="F332" i="1"/>
  <c r="F342" i="1"/>
  <c r="P31" i="2"/>
  <c r="P21" i="2"/>
  <c r="P18" i="2"/>
  <c r="F343" i="1"/>
  <c r="F351" i="1"/>
  <c r="P28" i="2"/>
  <c r="P25" i="2"/>
  <c r="P29" i="2"/>
  <c r="F336" i="1"/>
  <c r="F344" i="1"/>
  <c r="F340" i="1"/>
  <c r="F339" i="1"/>
  <c r="F345" i="1"/>
  <c r="F335" i="1"/>
  <c r="P19" i="2"/>
  <c r="P17" i="2"/>
  <c r="P26" i="2"/>
  <c r="P36" i="2"/>
  <c r="P39" i="2"/>
  <c r="F348" i="1"/>
  <c r="F338" i="1"/>
  <c r="F350" i="1"/>
  <c r="P30" i="2"/>
  <c r="P16" i="2"/>
  <c r="P14" i="2"/>
  <c r="F333" i="1"/>
  <c r="F330" i="1"/>
  <c r="F331" i="1"/>
  <c r="P23" i="2"/>
  <c r="F337" i="1"/>
  <c r="F346" i="1"/>
  <c r="F334" i="1"/>
  <c r="F341" i="1"/>
  <c r="F349" i="1"/>
  <c r="F347" i="1"/>
  <c r="P15" i="2"/>
  <c r="P20" i="2"/>
  <c r="P27" i="2"/>
  <c r="P38" i="2"/>
  <c r="P22" i="2"/>
  <c r="P158" i="2"/>
  <c r="P161" i="2"/>
  <c r="P156" i="2"/>
  <c r="P160" i="2"/>
  <c r="P162" i="2"/>
  <c r="I210" i="1"/>
  <c r="P155" i="2"/>
  <c r="F13" i="1"/>
  <c r="H204" i="1" s="1"/>
  <c r="P154" i="2"/>
  <c r="P159" i="2"/>
  <c r="P152" i="2"/>
  <c r="D275" i="1"/>
  <c r="D220" i="1"/>
  <c r="D250" i="1" s="1"/>
  <c r="C222" i="1"/>
  <c r="C252" i="1" s="1"/>
  <c r="B305" i="1" s="1"/>
  <c r="F219" i="1"/>
  <c r="F249" i="1" s="1"/>
  <c r="E219" i="1"/>
  <c r="E249" i="1" s="1"/>
  <c r="I218" i="1"/>
  <c r="I248" i="1" s="1"/>
  <c r="G218" i="1"/>
  <c r="G248" i="1" s="1"/>
  <c r="H212" i="1"/>
  <c r="I212" i="1"/>
  <c r="H210" i="1"/>
  <c r="K86" i="1"/>
  <c r="K97" i="1" s="1"/>
  <c r="G10" i="1"/>
  <c r="R8" i="2" s="1"/>
  <c r="F99" i="1"/>
  <c r="G13" i="1"/>
  <c r="I204" i="1" s="1"/>
  <c r="D64" i="1"/>
  <c r="I47" i="1"/>
  <c r="E59" i="1" s="1"/>
  <c r="I52" i="1"/>
  <c r="I54" i="1"/>
  <c r="E66" i="1" s="1"/>
  <c r="I49" i="1"/>
  <c r="E61" i="1" s="1"/>
  <c r="I89" i="1"/>
  <c r="I86" i="1"/>
  <c r="I97" i="1" s="1"/>
  <c r="I50" i="1"/>
  <c r="E62" i="1" s="1"/>
  <c r="I48" i="1"/>
  <c r="E60" i="1" s="1"/>
  <c r="I55" i="1"/>
  <c r="E67" i="1" s="1"/>
  <c r="I51" i="1"/>
  <c r="E63" i="1" s="1"/>
  <c r="I88" i="1"/>
  <c r="I53" i="1"/>
  <c r="E65" i="1" s="1"/>
  <c r="F10" i="1"/>
  <c r="Q19" i="2" s="1"/>
  <c r="N170" i="1"/>
  <c r="N167" i="1"/>
  <c r="F178" i="1"/>
  <c r="K52" i="1"/>
  <c r="K51" i="1"/>
  <c r="F63" i="1" s="1"/>
  <c r="K55" i="1"/>
  <c r="F67" i="1" s="1"/>
  <c r="K49" i="1"/>
  <c r="F61" i="1" s="1"/>
  <c r="K53" i="1"/>
  <c r="F65" i="1" s="1"/>
  <c r="K47" i="1"/>
  <c r="F59" i="1" s="1"/>
  <c r="K54" i="1"/>
  <c r="F66" i="1" s="1"/>
  <c r="K50" i="1"/>
  <c r="F62" i="1" s="1"/>
  <c r="K48" i="1"/>
  <c r="F60" i="1" s="1"/>
  <c r="K89" i="1"/>
  <c r="F30" i="1"/>
  <c r="Q160" i="2" s="1"/>
  <c r="N166" i="1"/>
  <c r="N168" i="1"/>
  <c r="G213" i="1"/>
  <c r="E14" i="1"/>
  <c r="G205" i="1" s="1"/>
  <c r="G211" i="1"/>
  <c r="N163" i="1"/>
  <c r="N173" i="1"/>
  <c r="Q162" i="2" s="1"/>
  <c r="N165" i="1"/>
  <c r="P151" i="2"/>
  <c r="J247" i="1"/>
  <c r="N162" i="1"/>
  <c r="G29" i="1"/>
  <c r="O166" i="1" s="1"/>
  <c r="N169" i="1"/>
  <c r="N164" i="1"/>
  <c r="N172" i="1"/>
  <c r="Q161" i="2" s="1"/>
  <c r="G247" i="1"/>
  <c r="D68" i="1"/>
  <c r="D69" i="1" s="1"/>
  <c r="D70" i="1" s="1"/>
  <c r="C181" i="1"/>
  <c r="I181" i="1" s="1"/>
  <c r="D180" i="1"/>
  <c r="J180" i="1" s="1"/>
  <c r="B184" i="1"/>
  <c r="H184" i="1" s="1"/>
  <c r="B223" i="1"/>
  <c r="B253" i="1" s="1"/>
  <c r="J344" i="1" l="1"/>
  <c r="J370" i="1" s="1"/>
  <c r="J334" i="1"/>
  <c r="J360" i="1" s="1"/>
  <c r="J330" i="1"/>
  <c r="J356" i="1" s="1"/>
  <c r="J339" i="1"/>
  <c r="J365" i="1" s="1"/>
  <c r="J336" i="1"/>
  <c r="J362" i="1" s="1"/>
  <c r="J345" i="1"/>
  <c r="J371" i="1" s="1"/>
  <c r="J342" i="1"/>
  <c r="J368" i="1" s="1"/>
  <c r="J340" i="1"/>
  <c r="J366" i="1" s="1"/>
  <c r="J333" i="1"/>
  <c r="J359" i="1" s="1"/>
  <c r="J329" i="1"/>
  <c r="J355" i="1" s="1"/>
  <c r="J337" i="1"/>
  <c r="J363" i="1" s="1"/>
  <c r="J351" i="1"/>
  <c r="J377" i="1" s="1"/>
  <c r="J347" i="1"/>
  <c r="J373" i="1" s="1"/>
  <c r="J341" i="1"/>
  <c r="J367" i="1" s="1"/>
  <c r="J350" i="1"/>
  <c r="J376" i="1" s="1"/>
  <c r="J346" i="1"/>
  <c r="J372" i="1" s="1"/>
  <c r="J335" i="1"/>
  <c r="J361" i="1" s="1"/>
  <c r="J332" i="1"/>
  <c r="J358" i="1" s="1"/>
  <c r="J328" i="1"/>
  <c r="J354" i="1" s="1"/>
  <c r="J343" i="1"/>
  <c r="J369" i="1" s="1"/>
  <c r="J338" i="1"/>
  <c r="J364" i="1" s="1"/>
  <c r="J349" i="1"/>
  <c r="J375" i="1" s="1"/>
  <c r="J348" i="1"/>
  <c r="J374" i="1" s="1"/>
  <c r="J331" i="1"/>
  <c r="J357" i="1" s="1"/>
  <c r="H328" i="1"/>
  <c r="Q8" i="2"/>
  <c r="F367" i="1"/>
  <c r="F393" i="1"/>
  <c r="F373" i="1"/>
  <c r="F399" i="1"/>
  <c r="F398" i="1"/>
  <c r="F372" i="1"/>
  <c r="F364" i="1"/>
  <c r="F390" i="1"/>
  <c r="F361" i="1"/>
  <c r="F387" i="1"/>
  <c r="F370" i="1"/>
  <c r="F396" i="1"/>
  <c r="F358" i="1"/>
  <c r="F384" i="1"/>
  <c r="F365" i="1"/>
  <c r="F391" i="1"/>
  <c r="F377" i="1"/>
  <c r="F403" i="1"/>
  <c r="F375" i="1"/>
  <c r="F401" i="1"/>
  <c r="F363" i="1"/>
  <c r="F389" i="1"/>
  <c r="F357" i="1"/>
  <c r="F383" i="1"/>
  <c r="F374" i="1"/>
  <c r="F400" i="1"/>
  <c r="F371" i="1"/>
  <c r="F397" i="1"/>
  <c r="F362" i="1"/>
  <c r="F388" i="1"/>
  <c r="F380" i="1"/>
  <c r="F354" i="1"/>
  <c r="F355" i="1"/>
  <c r="F381" i="1"/>
  <c r="F382" i="1"/>
  <c r="F356" i="1"/>
  <c r="E179" i="1"/>
  <c r="K179" i="1" s="1"/>
  <c r="F360" i="1"/>
  <c r="F386" i="1"/>
  <c r="F359" i="1"/>
  <c r="F385" i="1"/>
  <c r="F376" i="1"/>
  <c r="F402" i="1"/>
  <c r="F366" i="1"/>
  <c r="F392" i="1"/>
  <c r="F369" i="1"/>
  <c r="F395" i="1"/>
  <c r="F368" i="1"/>
  <c r="F394" i="1"/>
  <c r="H336" i="1"/>
  <c r="H339" i="1"/>
  <c r="Q29" i="2"/>
  <c r="H345" i="1"/>
  <c r="Q24" i="2"/>
  <c r="Q20" i="2"/>
  <c r="Q18" i="2"/>
  <c r="H346" i="1"/>
  <c r="Q156" i="2"/>
  <c r="Q159" i="2"/>
  <c r="R31" i="2"/>
  <c r="R16" i="2"/>
  <c r="Q152" i="2"/>
  <c r="H335" i="1"/>
  <c r="H348" i="1"/>
  <c r="H334" i="1"/>
  <c r="H330" i="1"/>
  <c r="H349" i="1"/>
  <c r="H333" i="1"/>
  <c r="H341" i="1"/>
  <c r="R24" i="2"/>
  <c r="R29" i="2"/>
  <c r="H331" i="1"/>
  <c r="H342" i="1"/>
  <c r="Q12" i="2"/>
  <c r="Q27" i="2"/>
  <c r="Q16" i="2"/>
  <c r="Q158" i="2"/>
  <c r="Q157" i="2"/>
  <c r="H347" i="1"/>
  <c r="H340" i="1"/>
  <c r="R18" i="2"/>
  <c r="R12" i="2"/>
  <c r="R23" i="2"/>
  <c r="R14" i="2"/>
  <c r="R17" i="2"/>
  <c r="R25" i="2"/>
  <c r="H350" i="1"/>
  <c r="H337" i="1"/>
  <c r="Q23" i="2"/>
  <c r="Q25" i="2"/>
  <c r="Q15" i="2"/>
  <c r="Q14" i="2"/>
  <c r="Q22" i="2"/>
  <c r="Q17" i="2"/>
  <c r="R28" i="2"/>
  <c r="R11" i="2"/>
  <c r="R20" i="2"/>
  <c r="R21" i="2"/>
  <c r="Q153" i="2"/>
  <c r="R22" i="2"/>
  <c r="R15" i="2"/>
  <c r="R26" i="2"/>
  <c r="Q11" i="2"/>
  <c r="Q9" i="2"/>
  <c r="Q154" i="2"/>
  <c r="Q155" i="2"/>
  <c r="H351" i="1"/>
  <c r="H343" i="1"/>
  <c r="H338" i="1"/>
  <c r="R9" i="2"/>
  <c r="R13" i="2"/>
  <c r="R19" i="2"/>
  <c r="R27" i="2"/>
  <c r="R30" i="2"/>
  <c r="H344" i="1"/>
  <c r="H329" i="1"/>
  <c r="H332" i="1"/>
  <c r="Q21" i="2"/>
  <c r="Q30" i="2"/>
  <c r="Q13" i="2"/>
  <c r="Q31" i="2"/>
  <c r="Q26" i="2"/>
  <c r="Q28" i="2"/>
  <c r="F179" i="1"/>
  <c r="L179" i="1" s="1"/>
  <c r="L178" i="1"/>
  <c r="E220" i="1"/>
  <c r="E250" i="1" s="1"/>
  <c r="D303" i="1" s="1"/>
  <c r="F220" i="1"/>
  <c r="F250" i="1" s="1"/>
  <c r="H219" i="1"/>
  <c r="H249" i="1" s="1"/>
  <c r="G219" i="1"/>
  <c r="G249" i="1" s="1"/>
  <c r="F302" i="1" s="1"/>
  <c r="H220" i="1"/>
  <c r="H250" i="1" s="1"/>
  <c r="D221" i="1"/>
  <c r="D251" i="1" s="1"/>
  <c r="B279" i="1"/>
  <c r="D302" i="1"/>
  <c r="D276" i="1"/>
  <c r="J218" i="1"/>
  <c r="J248" i="1" s="1"/>
  <c r="J99" i="1"/>
  <c r="Q151" i="2"/>
  <c r="I211" i="1"/>
  <c r="I213" i="1"/>
  <c r="G14" i="1"/>
  <c r="I205" i="1" s="1"/>
  <c r="H211" i="1"/>
  <c r="F14" i="1"/>
  <c r="H205" i="1" s="1"/>
  <c r="H213" i="1"/>
  <c r="H99" i="1"/>
  <c r="I56" i="1"/>
  <c r="E64" i="1"/>
  <c r="O169" i="1"/>
  <c r="O167" i="1"/>
  <c r="O171" i="1"/>
  <c r="K56" i="1"/>
  <c r="F64" i="1"/>
  <c r="P194" i="2"/>
  <c r="G30" i="1"/>
  <c r="R155" i="2" s="1"/>
  <c r="O172" i="1"/>
  <c r="O164" i="1"/>
  <c r="O168" i="1"/>
  <c r="O173" i="1"/>
  <c r="O162" i="1"/>
  <c r="O170" i="1"/>
  <c r="P150" i="2"/>
  <c r="O163" i="1"/>
  <c r="O165" i="1"/>
  <c r="P32" i="2"/>
  <c r="F275" i="1"/>
  <c r="F301" i="1"/>
  <c r="C182" i="1"/>
  <c r="I182" i="1" s="1"/>
  <c r="D181" i="1"/>
  <c r="J181" i="1" s="1"/>
  <c r="C223" i="1"/>
  <c r="C253" i="1" s="1"/>
  <c r="B280" i="1" s="1"/>
  <c r="B185" i="1"/>
  <c r="H185" i="1" s="1"/>
  <c r="B224" i="1"/>
  <c r="B254" i="1" s="1"/>
  <c r="E180" i="1" l="1"/>
  <c r="K180" i="1" s="1"/>
  <c r="R159" i="2"/>
  <c r="S159" i="2" s="1"/>
  <c r="R162" i="2"/>
  <c r="S162" i="2" s="1"/>
  <c r="R152" i="2"/>
  <c r="S152" i="2" s="1"/>
  <c r="R153" i="2"/>
  <c r="S153" i="2" s="1"/>
  <c r="R158" i="2"/>
  <c r="S158" i="2" s="1"/>
  <c r="R154" i="2"/>
  <c r="S154" i="2" s="1"/>
  <c r="R157" i="2"/>
  <c r="S157" i="2" s="1"/>
  <c r="R161" i="2"/>
  <c r="S161" i="2" s="1"/>
  <c r="R156" i="2"/>
  <c r="S156" i="2" s="1"/>
  <c r="R160" i="2"/>
  <c r="S160" i="2" s="1"/>
  <c r="J380" i="1"/>
  <c r="H358" i="1"/>
  <c r="H384" i="1"/>
  <c r="H355" i="1"/>
  <c r="H381" i="1"/>
  <c r="H377" i="1"/>
  <c r="H403" i="1"/>
  <c r="H368" i="1"/>
  <c r="H394" i="1"/>
  <c r="H359" i="1"/>
  <c r="H385" i="1"/>
  <c r="H374" i="1"/>
  <c r="H400" i="1"/>
  <c r="H370" i="1"/>
  <c r="H396" i="1"/>
  <c r="H364" i="1"/>
  <c r="H390" i="1"/>
  <c r="H376" i="1"/>
  <c r="H402" i="1"/>
  <c r="H357" i="1"/>
  <c r="H383" i="1"/>
  <c r="H375" i="1"/>
  <c r="H401" i="1"/>
  <c r="H361" i="1"/>
  <c r="H387" i="1"/>
  <c r="H380" i="1"/>
  <c r="H354" i="1"/>
  <c r="H373" i="1"/>
  <c r="H399" i="1"/>
  <c r="H356" i="1"/>
  <c r="H382" i="1"/>
  <c r="H365" i="1"/>
  <c r="H391" i="1"/>
  <c r="H369" i="1"/>
  <c r="H395" i="1"/>
  <c r="H363" i="1"/>
  <c r="H389" i="1"/>
  <c r="H366" i="1"/>
  <c r="H392" i="1"/>
  <c r="H393" i="1"/>
  <c r="H367" i="1"/>
  <c r="H360" i="1"/>
  <c r="H386" i="1"/>
  <c r="H372" i="1"/>
  <c r="H398" i="1"/>
  <c r="H371" i="1"/>
  <c r="H397" i="1"/>
  <c r="H362" i="1"/>
  <c r="H388" i="1"/>
  <c r="J384" i="1"/>
  <c r="J400" i="1"/>
  <c r="J393" i="1"/>
  <c r="J403" i="1"/>
  <c r="J391" i="1"/>
  <c r="J388" i="1"/>
  <c r="J398" i="1"/>
  <c r="J399" i="1"/>
  <c r="J394" i="1"/>
  <c r="J381" i="1"/>
  <c r="J402" i="1"/>
  <c r="J396" i="1"/>
  <c r="J392" i="1"/>
  <c r="J387" i="1"/>
  <c r="J389" i="1"/>
  <c r="J395" i="1"/>
  <c r="J390" i="1"/>
  <c r="J382" i="1"/>
  <c r="J385" i="1"/>
  <c r="J397" i="1"/>
  <c r="J383" i="1"/>
  <c r="J401" i="1"/>
  <c r="J386" i="1"/>
  <c r="F180" i="1"/>
  <c r="L180" i="1" s="1"/>
  <c r="D277" i="1"/>
  <c r="F276" i="1"/>
  <c r="I220" i="1"/>
  <c r="I250" i="1" s="1"/>
  <c r="F221" i="1"/>
  <c r="F251" i="1" s="1"/>
  <c r="J219" i="1"/>
  <c r="J249" i="1" s="1"/>
  <c r="J220" i="1"/>
  <c r="J250" i="1" s="1"/>
  <c r="G220" i="1"/>
  <c r="G250" i="1" s="1"/>
  <c r="H221" i="1"/>
  <c r="H251" i="1" s="1"/>
  <c r="E221" i="1"/>
  <c r="E251" i="1" s="1"/>
  <c r="D304" i="1" s="1"/>
  <c r="D222" i="1"/>
  <c r="D252" i="1" s="1"/>
  <c r="I219" i="1"/>
  <c r="I249" i="1" s="1"/>
  <c r="K218" i="1"/>
  <c r="K248" i="1" s="1"/>
  <c r="S14" i="2"/>
  <c r="S25" i="2"/>
  <c r="S23" i="2"/>
  <c r="S16" i="2"/>
  <c r="S30" i="2"/>
  <c r="S19" i="2"/>
  <c r="S24" i="2"/>
  <c r="S17" i="2"/>
  <c r="S31" i="2"/>
  <c r="R32" i="2"/>
  <c r="S13" i="2"/>
  <c r="S22" i="2"/>
  <c r="S18" i="2"/>
  <c r="S15" i="2"/>
  <c r="S28" i="2"/>
  <c r="S21" i="2"/>
  <c r="S27" i="2"/>
  <c r="S20" i="2"/>
  <c r="S9" i="2"/>
  <c r="S8" i="2"/>
  <c r="Q32" i="2"/>
  <c r="S29" i="2"/>
  <c r="S12" i="2"/>
  <c r="S11" i="2"/>
  <c r="I247" i="1"/>
  <c r="E68" i="1"/>
  <c r="E69" i="1" s="1"/>
  <c r="E70" i="1" s="1"/>
  <c r="S26" i="2"/>
  <c r="Q194" i="2"/>
  <c r="S155" i="2"/>
  <c r="Q150" i="2"/>
  <c r="R151" i="2"/>
  <c r="K247" i="1"/>
  <c r="F68" i="1"/>
  <c r="F70" i="1" s="1"/>
  <c r="C183" i="1"/>
  <c r="I183" i="1" s="1"/>
  <c r="D182" i="1"/>
  <c r="J182" i="1" s="1"/>
  <c r="C224" i="1"/>
  <c r="C254" i="1" s="1"/>
  <c r="B281" i="1" s="1"/>
  <c r="B306" i="1"/>
  <c r="B186" i="1"/>
  <c r="H186" i="1" s="1"/>
  <c r="B225" i="1"/>
  <c r="B255" i="1" s="1"/>
  <c r="E181" i="1" l="1"/>
  <c r="K181" i="1" s="1"/>
  <c r="F181" i="1"/>
  <c r="L181" i="1" s="1"/>
  <c r="G221" i="1"/>
  <c r="G251" i="1" s="1"/>
  <c r="F304" i="1" s="1"/>
  <c r="K220" i="1"/>
  <c r="K250" i="1" s="1"/>
  <c r="R37" i="2" s="1"/>
  <c r="J221" i="1"/>
  <c r="J251" i="1" s="1"/>
  <c r="I221" i="1"/>
  <c r="I251" i="1" s="1"/>
  <c r="H278" i="1" s="1"/>
  <c r="H222" i="1"/>
  <c r="H252" i="1" s="1"/>
  <c r="E222" i="1"/>
  <c r="E252" i="1" s="1"/>
  <c r="F303" i="1"/>
  <c r="F277" i="1"/>
  <c r="K219" i="1"/>
  <c r="K249" i="1" s="1"/>
  <c r="J276" i="1" s="1"/>
  <c r="F222" i="1"/>
  <c r="F252" i="1" s="1"/>
  <c r="D278" i="1"/>
  <c r="S32" i="2"/>
  <c r="H275" i="1"/>
  <c r="H277" i="1"/>
  <c r="H276" i="1"/>
  <c r="H303" i="1"/>
  <c r="Q37" i="2" s="1"/>
  <c r="H302" i="1"/>
  <c r="Q36" i="2" s="1"/>
  <c r="F69" i="1"/>
  <c r="H301" i="1"/>
  <c r="Q35" i="2" s="1"/>
  <c r="R35" i="2"/>
  <c r="J275" i="1"/>
  <c r="R150" i="2"/>
  <c r="S150" i="2" s="1"/>
  <c r="R194" i="2"/>
  <c r="S194" i="2" s="1"/>
  <c r="S151" i="2"/>
  <c r="D223" i="1"/>
  <c r="D253" i="1" s="1"/>
  <c r="C184" i="1"/>
  <c r="I184" i="1" s="1"/>
  <c r="F223" i="1"/>
  <c r="F253" i="1" s="1"/>
  <c r="D183" i="1"/>
  <c r="J183" i="1" s="1"/>
  <c r="B307" i="1"/>
  <c r="N41" i="2" s="1"/>
  <c r="B187" i="1"/>
  <c r="H187" i="1" s="1"/>
  <c r="C225" i="1"/>
  <c r="C255" i="1" s="1"/>
  <c r="B282" i="1" s="1"/>
  <c r="B226" i="1"/>
  <c r="B256" i="1" s="1"/>
  <c r="E182" i="1" l="1"/>
  <c r="K182" i="1" s="1"/>
  <c r="J301" i="1"/>
  <c r="J302" i="1"/>
  <c r="F182" i="1"/>
  <c r="L182" i="1" s="1"/>
  <c r="J277" i="1"/>
  <c r="F278" i="1"/>
  <c r="R36" i="2"/>
  <c r="H304" i="1"/>
  <c r="Q38" i="2" s="1"/>
  <c r="I222" i="1"/>
  <c r="I252" i="1" s="1"/>
  <c r="H305" i="1" s="1"/>
  <c r="Q39" i="2" s="1"/>
  <c r="G222" i="1"/>
  <c r="G252" i="1" s="1"/>
  <c r="F305" i="1" s="1"/>
  <c r="D279" i="1"/>
  <c r="D305" i="1"/>
  <c r="J222" i="1"/>
  <c r="J252" i="1" s="1"/>
  <c r="K221" i="1"/>
  <c r="K251" i="1" s="1"/>
  <c r="S37" i="2"/>
  <c r="S35" i="2"/>
  <c r="E223" i="1"/>
  <c r="E253" i="1" s="1"/>
  <c r="G223" i="1"/>
  <c r="G253" i="1" s="1"/>
  <c r="D224" i="1"/>
  <c r="D254" i="1" s="1"/>
  <c r="C226" i="1"/>
  <c r="C256" i="1" s="1"/>
  <c r="B283" i="1" s="1"/>
  <c r="E43" i="2" s="1"/>
  <c r="C185" i="1"/>
  <c r="I185" i="1" s="1"/>
  <c r="F224" i="1"/>
  <c r="F254" i="1" s="1"/>
  <c r="D184" i="1"/>
  <c r="J184" i="1" s="1"/>
  <c r="H223" i="1"/>
  <c r="H253" i="1" s="1"/>
  <c r="B308" i="1"/>
  <c r="N42" i="2" s="1"/>
  <c r="N59" i="2" s="1"/>
  <c r="B227" i="1"/>
  <c r="B257" i="1" s="1"/>
  <c r="B188" i="1"/>
  <c r="H188" i="1" s="1"/>
  <c r="E183" i="1" l="1"/>
  <c r="K183" i="1" s="1"/>
  <c r="H224" i="1" s="1"/>
  <c r="H254" i="1" s="1"/>
  <c r="J303" i="1"/>
  <c r="S36" i="2"/>
  <c r="F183" i="1"/>
  <c r="L183" i="1" s="1"/>
  <c r="H279" i="1"/>
  <c r="J278" i="1"/>
  <c r="R38" i="2"/>
  <c r="S38" i="2" s="1"/>
  <c r="K222" i="1"/>
  <c r="K252" i="1" s="1"/>
  <c r="F279" i="1"/>
  <c r="F306" i="1"/>
  <c r="P40" i="2" s="1"/>
  <c r="F280" i="1"/>
  <c r="B309" i="1"/>
  <c r="N43" i="2" s="1"/>
  <c r="D306" i="1"/>
  <c r="O40" i="2" s="1"/>
  <c r="D280" i="1"/>
  <c r="E224" i="1"/>
  <c r="E254" i="1" s="1"/>
  <c r="J223" i="1"/>
  <c r="J253" i="1" s="1"/>
  <c r="C186" i="1"/>
  <c r="I186" i="1" s="1"/>
  <c r="D225" i="1"/>
  <c r="D255" i="1" s="1"/>
  <c r="G224" i="1"/>
  <c r="G254" i="1" s="1"/>
  <c r="I223" i="1"/>
  <c r="I253" i="1" s="1"/>
  <c r="F225" i="1"/>
  <c r="F255" i="1" s="1"/>
  <c r="D185" i="1"/>
  <c r="J185" i="1" s="1"/>
  <c r="H225" i="1"/>
  <c r="H255" i="1" s="1"/>
  <c r="B189" i="1"/>
  <c r="H189" i="1" s="1"/>
  <c r="B228" i="1"/>
  <c r="B258" i="1" s="1"/>
  <c r="C227" i="1"/>
  <c r="C257" i="1" s="1"/>
  <c r="B284" i="1" s="1"/>
  <c r="E44" i="2" s="1"/>
  <c r="E184" i="1" l="1"/>
  <c r="K184" i="1" s="1"/>
  <c r="I225" i="1" s="1"/>
  <c r="I255" i="1" s="1"/>
  <c r="I224" i="1"/>
  <c r="I254" i="1" s="1"/>
  <c r="J304" i="1"/>
  <c r="E185" i="1"/>
  <c r="K185" i="1" s="1"/>
  <c r="F184" i="1"/>
  <c r="L184" i="1" s="1"/>
  <c r="R39" i="2"/>
  <c r="J279" i="1"/>
  <c r="H306" i="1"/>
  <c r="Q40" i="2" s="1"/>
  <c r="H280" i="1"/>
  <c r="F307" i="1"/>
  <c r="P41" i="2" s="1"/>
  <c r="F281" i="1"/>
  <c r="H41" i="2" s="1"/>
  <c r="H281" i="1"/>
  <c r="J41" i="2" s="1"/>
  <c r="D307" i="1"/>
  <c r="O41" i="2" s="1"/>
  <c r="D281" i="1"/>
  <c r="K223" i="1"/>
  <c r="K253" i="1" s="1"/>
  <c r="J224" i="1"/>
  <c r="J254" i="1" s="1"/>
  <c r="C187" i="1"/>
  <c r="I187" i="1" s="1"/>
  <c r="E225" i="1"/>
  <c r="E255" i="1" s="1"/>
  <c r="D226" i="1"/>
  <c r="D256" i="1" s="1"/>
  <c r="G225" i="1"/>
  <c r="G255" i="1" s="1"/>
  <c r="F226" i="1"/>
  <c r="F256" i="1" s="1"/>
  <c r="D186" i="1"/>
  <c r="J186" i="1" s="1"/>
  <c r="H226" i="1"/>
  <c r="H256" i="1" s="1"/>
  <c r="C228" i="1"/>
  <c r="C258" i="1" s="1"/>
  <c r="B285" i="1" s="1"/>
  <c r="E45" i="2" s="1"/>
  <c r="B190" i="1"/>
  <c r="H190" i="1" s="1"/>
  <c r="B229" i="1"/>
  <c r="B259" i="1" s="1"/>
  <c r="B310" i="1"/>
  <c r="N44" i="2" s="1"/>
  <c r="F185" i="1" l="1"/>
  <c r="L185" i="1" s="1"/>
  <c r="H307" i="1"/>
  <c r="Q41" i="2" s="1"/>
  <c r="J305" i="1"/>
  <c r="E186" i="1"/>
  <c r="K186" i="1" s="1"/>
  <c r="H227" i="1" s="1"/>
  <c r="H257" i="1" s="1"/>
  <c r="S39" i="2"/>
  <c r="R40" i="2"/>
  <c r="S40" i="2" s="1"/>
  <c r="J280" i="1"/>
  <c r="F308" i="1"/>
  <c r="P42" i="2" s="1"/>
  <c r="F282" i="1"/>
  <c r="H42" i="2" s="1"/>
  <c r="H308" i="1"/>
  <c r="Q42" i="2" s="1"/>
  <c r="H282" i="1"/>
  <c r="D308" i="1"/>
  <c r="O42" i="2" s="1"/>
  <c r="D282" i="1"/>
  <c r="K224" i="1"/>
  <c r="K254" i="1" s="1"/>
  <c r="J225" i="1"/>
  <c r="J255" i="1" s="1"/>
  <c r="G226" i="1"/>
  <c r="G256" i="1" s="1"/>
  <c r="I226" i="1"/>
  <c r="I256" i="1" s="1"/>
  <c r="E226" i="1"/>
  <c r="E256" i="1" s="1"/>
  <c r="C188" i="1"/>
  <c r="I188" i="1" s="1"/>
  <c r="D227" i="1"/>
  <c r="D257" i="1" s="1"/>
  <c r="D187" i="1"/>
  <c r="J187" i="1" s="1"/>
  <c r="F227" i="1"/>
  <c r="F257" i="1" s="1"/>
  <c r="B311" i="1"/>
  <c r="N45" i="2" s="1"/>
  <c r="B191" i="1"/>
  <c r="H191" i="1" s="1"/>
  <c r="B230" i="1"/>
  <c r="B260" i="1" s="1"/>
  <c r="C229" i="1"/>
  <c r="C259" i="1" s="1"/>
  <c r="B286" i="1" s="1"/>
  <c r="E46" i="2" s="1"/>
  <c r="F186" i="1" l="1"/>
  <c r="L186" i="1" s="1"/>
  <c r="J306" i="1"/>
  <c r="E187" i="1"/>
  <c r="K187" i="1" s="1"/>
  <c r="H228" i="1" s="1"/>
  <c r="H258" i="1" s="1"/>
  <c r="R41" i="2"/>
  <c r="J281" i="1"/>
  <c r="H309" i="1"/>
  <c r="Q43" i="2" s="1"/>
  <c r="H283" i="1"/>
  <c r="J43" i="2" s="1"/>
  <c r="F309" i="1"/>
  <c r="P43" i="2" s="1"/>
  <c r="F283" i="1"/>
  <c r="H43" i="2" s="1"/>
  <c r="D283" i="1"/>
  <c r="F43" i="2" s="1"/>
  <c r="E227" i="1"/>
  <c r="E257" i="1" s="1"/>
  <c r="K225" i="1"/>
  <c r="K255" i="1" s="1"/>
  <c r="J226" i="1"/>
  <c r="J256" i="1" s="1"/>
  <c r="D309" i="1"/>
  <c r="O43" i="2" s="1"/>
  <c r="G227" i="1"/>
  <c r="G257" i="1" s="1"/>
  <c r="C189" i="1"/>
  <c r="I189" i="1" s="1"/>
  <c r="D228" i="1"/>
  <c r="D258" i="1" s="1"/>
  <c r="F228" i="1"/>
  <c r="F258" i="1" s="1"/>
  <c r="D188" i="1"/>
  <c r="J188" i="1" s="1"/>
  <c r="I227" i="1"/>
  <c r="I257" i="1" s="1"/>
  <c r="B192" i="1"/>
  <c r="H192" i="1" s="1"/>
  <c r="B312" i="1"/>
  <c r="N46" i="2" s="1"/>
  <c r="C230" i="1"/>
  <c r="C260" i="1" s="1"/>
  <c r="B287" i="1" s="1"/>
  <c r="E47" i="2" s="1"/>
  <c r="B231" i="1"/>
  <c r="B261" i="1" s="1"/>
  <c r="F187" i="1" l="1"/>
  <c r="L187" i="1" s="1"/>
  <c r="J307" i="1"/>
  <c r="E188" i="1"/>
  <c r="K188" i="1" s="1"/>
  <c r="H229" i="1" s="1"/>
  <c r="H259" i="1" s="1"/>
  <c r="S41" i="2"/>
  <c r="R42" i="2"/>
  <c r="J282" i="1"/>
  <c r="F310" i="1"/>
  <c r="P44" i="2" s="1"/>
  <c r="F284" i="1"/>
  <c r="H44" i="2" s="1"/>
  <c r="H310" i="1"/>
  <c r="Q44" i="2" s="1"/>
  <c r="H284" i="1"/>
  <c r="J44" i="2" s="1"/>
  <c r="D310" i="1"/>
  <c r="O44" i="2" s="1"/>
  <c r="D284" i="1"/>
  <c r="F44" i="2" s="1"/>
  <c r="E228" i="1"/>
  <c r="E258" i="1" s="1"/>
  <c r="K226" i="1"/>
  <c r="K256" i="1" s="1"/>
  <c r="J227" i="1"/>
  <c r="J257" i="1" s="1"/>
  <c r="D229" i="1"/>
  <c r="D259" i="1" s="1"/>
  <c r="C190" i="1"/>
  <c r="I190" i="1" s="1"/>
  <c r="F229" i="1"/>
  <c r="F259" i="1" s="1"/>
  <c r="D189" i="1"/>
  <c r="J189" i="1" s="1"/>
  <c r="G228" i="1"/>
  <c r="G258" i="1" s="1"/>
  <c r="I228" i="1"/>
  <c r="I258" i="1" s="1"/>
  <c r="B313" i="1"/>
  <c r="N47" i="2" s="1"/>
  <c r="B232" i="1"/>
  <c r="B262" i="1" s="1"/>
  <c r="B193" i="1"/>
  <c r="H193" i="1" s="1"/>
  <c r="C231" i="1"/>
  <c r="C261" i="1" s="1"/>
  <c r="B288" i="1" s="1"/>
  <c r="E48" i="2" s="1"/>
  <c r="F188" i="1" l="1"/>
  <c r="L188" i="1" s="1"/>
  <c r="J308" i="1"/>
  <c r="E189" i="1"/>
  <c r="K189" i="1" s="1"/>
  <c r="H230" i="1" s="1"/>
  <c r="H260" i="1" s="1"/>
  <c r="S42" i="2"/>
  <c r="R43" i="2"/>
  <c r="J283" i="1"/>
  <c r="H311" i="1"/>
  <c r="Q45" i="2" s="1"/>
  <c r="H285" i="1"/>
  <c r="J45" i="2" s="1"/>
  <c r="F311" i="1"/>
  <c r="P45" i="2" s="1"/>
  <c r="F285" i="1"/>
  <c r="H45" i="2" s="1"/>
  <c r="D311" i="1"/>
  <c r="O45" i="2" s="1"/>
  <c r="D285" i="1"/>
  <c r="F45" i="2" s="1"/>
  <c r="E229" i="1"/>
  <c r="E259" i="1" s="1"/>
  <c r="J228" i="1"/>
  <c r="J258" i="1" s="1"/>
  <c r="K227" i="1"/>
  <c r="K257" i="1" s="1"/>
  <c r="D230" i="1"/>
  <c r="D260" i="1" s="1"/>
  <c r="C191" i="1"/>
  <c r="I191" i="1" s="1"/>
  <c r="I229" i="1"/>
  <c r="I259" i="1" s="1"/>
  <c r="D190" i="1"/>
  <c r="J190" i="1" s="1"/>
  <c r="F230" i="1"/>
  <c r="F260" i="1" s="1"/>
  <c r="G229" i="1"/>
  <c r="G259" i="1" s="1"/>
  <c r="B314" i="1"/>
  <c r="N48" i="2" s="1"/>
  <c r="B233" i="1"/>
  <c r="B263" i="1" s="1"/>
  <c r="B194" i="1"/>
  <c r="H194" i="1" s="1"/>
  <c r="C232" i="1"/>
  <c r="C262" i="1" s="1"/>
  <c r="B289" i="1" s="1"/>
  <c r="E49" i="2" s="1"/>
  <c r="F189" i="1" l="1"/>
  <c r="L189" i="1" s="1"/>
  <c r="L43" i="2"/>
  <c r="J309" i="1"/>
  <c r="E190" i="1"/>
  <c r="K190" i="1" s="1"/>
  <c r="H231" i="1" s="1"/>
  <c r="H261" i="1" s="1"/>
  <c r="S43" i="2"/>
  <c r="J284" i="1"/>
  <c r="F312" i="1"/>
  <c r="P46" i="2" s="1"/>
  <c r="F286" i="1"/>
  <c r="H46" i="2" s="1"/>
  <c r="H312" i="1"/>
  <c r="Q46" i="2" s="1"/>
  <c r="H286" i="1"/>
  <c r="J46" i="2" s="1"/>
  <c r="D312" i="1"/>
  <c r="O46" i="2" s="1"/>
  <c r="D286" i="1"/>
  <c r="F46" i="2" s="1"/>
  <c r="F190" i="1"/>
  <c r="L190" i="1" s="1"/>
  <c r="J229" i="1"/>
  <c r="J259" i="1" s="1"/>
  <c r="K228" i="1"/>
  <c r="K258" i="1" s="1"/>
  <c r="G230" i="1"/>
  <c r="G260" i="1" s="1"/>
  <c r="D231" i="1"/>
  <c r="D261" i="1" s="1"/>
  <c r="E230" i="1"/>
  <c r="E260" i="1" s="1"/>
  <c r="C192" i="1"/>
  <c r="I192" i="1" s="1"/>
  <c r="F231" i="1"/>
  <c r="F261" i="1" s="1"/>
  <c r="D191" i="1"/>
  <c r="J191" i="1" s="1"/>
  <c r="I230" i="1"/>
  <c r="I260" i="1" s="1"/>
  <c r="B315" i="1"/>
  <c r="N49" i="2" s="1"/>
  <c r="C233" i="1"/>
  <c r="C263" i="1" s="1"/>
  <c r="B290" i="1" s="1"/>
  <c r="E50" i="2" s="1"/>
  <c r="B195" i="1"/>
  <c r="H195" i="1" s="1"/>
  <c r="B234" i="1"/>
  <c r="B264" i="1" s="1"/>
  <c r="L44" i="2" l="1"/>
  <c r="J310" i="1"/>
  <c r="R44" i="2" s="1"/>
  <c r="S44" i="2" s="1"/>
  <c r="E191" i="1"/>
  <c r="K191" i="1" s="1"/>
  <c r="H232" i="1" s="1"/>
  <c r="H262" i="1" s="1"/>
  <c r="J285" i="1"/>
  <c r="F313" i="1"/>
  <c r="P47" i="2" s="1"/>
  <c r="F287" i="1"/>
  <c r="H47" i="2" s="1"/>
  <c r="H313" i="1"/>
  <c r="Q47" i="2" s="1"/>
  <c r="H287" i="1"/>
  <c r="J47" i="2" s="1"/>
  <c r="D313" i="1"/>
  <c r="O47" i="2" s="1"/>
  <c r="D287" i="1"/>
  <c r="F47" i="2" s="1"/>
  <c r="K229" i="1"/>
  <c r="K259" i="1" s="1"/>
  <c r="J230" i="1"/>
  <c r="J260" i="1" s="1"/>
  <c r="E231" i="1"/>
  <c r="E261" i="1" s="1"/>
  <c r="F191" i="1"/>
  <c r="L191" i="1" s="1"/>
  <c r="D232" i="1"/>
  <c r="D262" i="1" s="1"/>
  <c r="C193" i="1"/>
  <c r="I193" i="1" s="1"/>
  <c r="G231" i="1"/>
  <c r="G261" i="1" s="1"/>
  <c r="D192" i="1"/>
  <c r="J192" i="1" s="1"/>
  <c r="F232" i="1"/>
  <c r="F262" i="1" s="1"/>
  <c r="I231" i="1"/>
  <c r="I261" i="1" s="1"/>
  <c r="B316" i="1"/>
  <c r="N50" i="2" s="1"/>
  <c r="C234" i="1"/>
  <c r="C264" i="1" s="1"/>
  <c r="B291" i="1" s="1"/>
  <c r="E51" i="2" s="1"/>
  <c r="B235" i="1"/>
  <c r="B265" i="1" s="1"/>
  <c r="B196" i="1"/>
  <c r="H196" i="1" s="1"/>
  <c r="L45" i="2" l="1"/>
  <c r="J311" i="1"/>
  <c r="R45" i="2" s="1"/>
  <c r="S45" i="2" s="1"/>
  <c r="E192" i="1"/>
  <c r="K192" i="1" s="1"/>
  <c r="H233" i="1" s="1"/>
  <c r="H263" i="1" s="1"/>
  <c r="G232" i="1"/>
  <c r="G262" i="1" s="1"/>
  <c r="F315" i="1" s="1"/>
  <c r="P49" i="2" s="1"/>
  <c r="J286" i="1"/>
  <c r="H314" i="1"/>
  <c r="Q48" i="2" s="1"/>
  <c r="H288" i="1"/>
  <c r="J48" i="2" s="1"/>
  <c r="F314" i="1"/>
  <c r="P48" i="2" s="1"/>
  <c r="F288" i="1"/>
  <c r="H48" i="2" s="1"/>
  <c r="D314" i="1"/>
  <c r="O48" i="2" s="1"/>
  <c r="D288" i="1"/>
  <c r="F48" i="2" s="1"/>
  <c r="K230" i="1"/>
  <c r="K260" i="1" s="1"/>
  <c r="J231" i="1"/>
  <c r="J261" i="1" s="1"/>
  <c r="F192" i="1"/>
  <c r="L192" i="1" s="1"/>
  <c r="E232" i="1"/>
  <c r="E262" i="1" s="1"/>
  <c r="C194" i="1"/>
  <c r="I194" i="1" s="1"/>
  <c r="I232" i="1"/>
  <c r="I262" i="1" s="1"/>
  <c r="D233" i="1"/>
  <c r="D263" i="1" s="1"/>
  <c r="F233" i="1"/>
  <c r="F263" i="1" s="1"/>
  <c r="D193" i="1"/>
  <c r="J193" i="1" s="1"/>
  <c r="B317" i="1"/>
  <c r="N51" i="2" s="1"/>
  <c r="B236" i="1"/>
  <c r="B266" i="1" s="1"/>
  <c r="C235" i="1"/>
  <c r="C265" i="1" s="1"/>
  <c r="B292" i="1" s="1"/>
  <c r="E52" i="2" s="1"/>
  <c r="B197" i="1"/>
  <c r="H197" i="1" s="1"/>
  <c r="L46" i="2" l="1"/>
  <c r="J312" i="1"/>
  <c r="R46" i="2" s="1"/>
  <c r="S46" i="2" s="1"/>
  <c r="E193" i="1"/>
  <c r="K193" i="1" s="1"/>
  <c r="H234" i="1" s="1"/>
  <c r="H264" i="1" s="1"/>
  <c r="F289" i="1"/>
  <c r="H49" i="2" s="1"/>
  <c r="J287" i="1"/>
  <c r="H315" i="1"/>
  <c r="Q49" i="2" s="1"/>
  <c r="H289" i="1"/>
  <c r="J49" i="2" s="1"/>
  <c r="D315" i="1"/>
  <c r="O49" i="2" s="1"/>
  <c r="D289" i="1"/>
  <c r="F49" i="2" s="1"/>
  <c r="E233" i="1"/>
  <c r="E263" i="1" s="1"/>
  <c r="K231" i="1"/>
  <c r="K261" i="1" s="1"/>
  <c r="J232" i="1"/>
  <c r="J262" i="1" s="1"/>
  <c r="F193" i="1"/>
  <c r="L193" i="1" s="1"/>
  <c r="D234" i="1"/>
  <c r="D264" i="1" s="1"/>
  <c r="C195" i="1"/>
  <c r="I195" i="1" s="1"/>
  <c r="F234" i="1"/>
  <c r="F264" i="1" s="1"/>
  <c r="D194" i="1"/>
  <c r="J194" i="1" s="1"/>
  <c r="G233" i="1"/>
  <c r="G263" i="1" s="1"/>
  <c r="I233" i="1"/>
  <c r="I263" i="1" s="1"/>
  <c r="C236" i="1"/>
  <c r="C266" i="1" s="1"/>
  <c r="B293" i="1" s="1"/>
  <c r="E53" i="2" s="1"/>
  <c r="B318" i="1"/>
  <c r="N52" i="2" s="1"/>
  <c r="B237" i="1"/>
  <c r="B267" i="1" s="1"/>
  <c r="B198" i="1"/>
  <c r="H198" i="1" s="1"/>
  <c r="L47" i="2" l="1"/>
  <c r="J313" i="1"/>
  <c r="R47" i="2" s="1"/>
  <c r="S47" i="2" s="1"/>
  <c r="E194" i="1"/>
  <c r="K194" i="1" s="1"/>
  <c r="H235" i="1" s="1"/>
  <c r="H265" i="1" s="1"/>
  <c r="J288" i="1"/>
  <c r="H316" i="1"/>
  <c r="Q50" i="2" s="1"/>
  <c r="H290" i="1"/>
  <c r="J50" i="2" s="1"/>
  <c r="F316" i="1"/>
  <c r="P50" i="2" s="1"/>
  <c r="F290" i="1"/>
  <c r="H50" i="2" s="1"/>
  <c r="G234" i="1"/>
  <c r="G264" i="1" s="1"/>
  <c r="D316" i="1"/>
  <c r="O50" i="2" s="1"/>
  <c r="D290" i="1"/>
  <c r="F50" i="2" s="1"/>
  <c r="J233" i="1"/>
  <c r="J263" i="1" s="1"/>
  <c r="K232" i="1"/>
  <c r="K262" i="1" s="1"/>
  <c r="F194" i="1"/>
  <c r="L194" i="1" s="1"/>
  <c r="E234" i="1"/>
  <c r="E264" i="1" s="1"/>
  <c r="D235" i="1"/>
  <c r="D265" i="1" s="1"/>
  <c r="C196" i="1"/>
  <c r="I196" i="1" s="1"/>
  <c r="F235" i="1"/>
  <c r="F265" i="1" s="1"/>
  <c r="D195" i="1"/>
  <c r="J195" i="1" s="1"/>
  <c r="I234" i="1"/>
  <c r="I264" i="1" s="1"/>
  <c r="B319" i="1"/>
  <c r="N53" i="2" s="1"/>
  <c r="C237" i="1"/>
  <c r="C267" i="1" s="1"/>
  <c r="B294" i="1" s="1"/>
  <c r="E54" i="2" s="1"/>
  <c r="B199" i="1"/>
  <c r="H199" i="1" s="1"/>
  <c r="B238" i="1"/>
  <c r="B268" i="1" s="1"/>
  <c r="L48" i="2" l="1"/>
  <c r="J314" i="1"/>
  <c r="R48" i="2" s="1"/>
  <c r="S48" i="2" s="1"/>
  <c r="E195" i="1"/>
  <c r="K195" i="1" s="1"/>
  <c r="J289" i="1"/>
  <c r="H317" i="1"/>
  <c r="Q51" i="2" s="1"/>
  <c r="H291" i="1"/>
  <c r="J51" i="2" s="1"/>
  <c r="F317" i="1"/>
  <c r="P51" i="2" s="1"/>
  <c r="F291" i="1"/>
  <c r="H51" i="2" s="1"/>
  <c r="D317" i="1"/>
  <c r="O51" i="2" s="1"/>
  <c r="D291" i="1"/>
  <c r="F51" i="2" s="1"/>
  <c r="K233" i="1"/>
  <c r="K263" i="1" s="1"/>
  <c r="F195" i="1"/>
  <c r="L195" i="1" s="1"/>
  <c r="J234" i="1"/>
  <c r="J264" i="1" s="1"/>
  <c r="E235" i="1"/>
  <c r="E265" i="1" s="1"/>
  <c r="C197" i="1"/>
  <c r="I197" i="1" s="1"/>
  <c r="D236" i="1"/>
  <c r="D266" i="1" s="1"/>
  <c r="G235" i="1"/>
  <c r="G265" i="1" s="1"/>
  <c r="I235" i="1"/>
  <c r="I265" i="1" s="1"/>
  <c r="F236" i="1"/>
  <c r="F266" i="1" s="1"/>
  <c r="D196" i="1"/>
  <c r="J196" i="1" s="1"/>
  <c r="B320" i="1"/>
  <c r="N54" i="2" s="1"/>
  <c r="B200" i="1"/>
  <c r="H200" i="1" s="1"/>
  <c r="C238" i="1"/>
  <c r="C268" i="1" s="1"/>
  <c r="B295" i="1" s="1"/>
  <c r="E55" i="2" s="1"/>
  <c r="B239" i="1"/>
  <c r="B269" i="1" s="1"/>
  <c r="L49" i="2" l="1"/>
  <c r="J315" i="1"/>
  <c r="R49" i="2" s="1"/>
  <c r="S49" i="2" s="1"/>
  <c r="E196" i="1"/>
  <c r="K196" i="1" s="1"/>
  <c r="H237" i="1" s="1"/>
  <c r="H267" i="1" s="1"/>
  <c r="J290" i="1"/>
  <c r="H318" i="1"/>
  <c r="Q52" i="2" s="1"/>
  <c r="H292" i="1"/>
  <c r="J52" i="2" s="1"/>
  <c r="F318" i="1"/>
  <c r="P52" i="2" s="1"/>
  <c r="F292" i="1"/>
  <c r="H52" i="2" s="1"/>
  <c r="D318" i="1"/>
  <c r="O52" i="2" s="1"/>
  <c r="D292" i="1"/>
  <c r="F52" i="2" s="1"/>
  <c r="E236" i="1"/>
  <c r="E266" i="1" s="1"/>
  <c r="J235" i="1"/>
  <c r="J265" i="1" s="1"/>
  <c r="F196" i="1"/>
  <c r="L196" i="1" s="1"/>
  <c r="K234" i="1"/>
  <c r="K264" i="1" s="1"/>
  <c r="C198" i="1"/>
  <c r="I198" i="1" s="1"/>
  <c r="D237" i="1"/>
  <c r="D267" i="1" s="1"/>
  <c r="G236" i="1"/>
  <c r="G266" i="1" s="1"/>
  <c r="D197" i="1"/>
  <c r="J197" i="1" s="1"/>
  <c r="F237" i="1"/>
  <c r="F267" i="1" s="1"/>
  <c r="H236" i="1"/>
  <c r="H266" i="1" s="1"/>
  <c r="B241" i="1"/>
  <c r="B271" i="1" s="1"/>
  <c r="B321" i="1"/>
  <c r="N55" i="2" s="1"/>
  <c r="C239" i="1"/>
  <c r="C269" i="1" s="1"/>
  <c r="B296" i="1" s="1"/>
  <c r="E56" i="2" s="1"/>
  <c r="B240" i="1"/>
  <c r="B270" i="1" s="1"/>
  <c r="L50" i="2" l="1"/>
  <c r="J316" i="1"/>
  <c r="R50" i="2" s="1"/>
  <c r="S50" i="2" s="1"/>
  <c r="E197" i="1"/>
  <c r="K197" i="1" s="1"/>
  <c r="H238" i="1" s="1"/>
  <c r="H268" i="1" s="1"/>
  <c r="J291" i="1"/>
  <c r="F319" i="1"/>
  <c r="P53" i="2" s="1"/>
  <c r="F293" i="1"/>
  <c r="H53" i="2" s="1"/>
  <c r="D319" i="1"/>
  <c r="O53" i="2" s="1"/>
  <c r="D293" i="1"/>
  <c r="F53" i="2" s="1"/>
  <c r="F197" i="1"/>
  <c r="L197" i="1" s="1"/>
  <c r="J236" i="1"/>
  <c r="J266" i="1" s="1"/>
  <c r="K235" i="1"/>
  <c r="K265" i="1" s="1"/>
  <c r="C199" i="1"/>
  <c r="I199" i="1" s="1"/>
  <c r="I237" i="1"/>
  <c r="I267" i="1" s="1"/>
  <c r="E237" i="1"/>
  <c r="E267" i="1" s="1"/>
  <c r="D238" i="1"/>
  <c r="D268" i="1" s="1"/>
  <c r="G237" i="1"/>
  <c r="G267" i="1" s="1"/>
  <c r="F238" i="1"/>
  <c r="F268" i="1" s="1"/>
  <c r="D198" i="1"/>
  <c r="J198" i="1" s="1"/>
  <c r="I236" i="1"/>
  <c r="I266" i="1" s="1"/>
  <c r="C240" i="1"/>
  <c r="C270" i="1" s="1"/>
  <c r="B297" i="1" s="1"/>
  <c r="E57" i="2" s="1"/>
  <c r="B322" i="1"/>
  <c r="N56" i="2" s="1"/>
  <c r="C241" i="1"/>
  <c r="C271" i="1" s="1"/>
  <c r="B298" i="1" s="1"/>
  <c r="E58" i="2" s="1"/>
  <c r="L51" i="2" l="1"/>
  <c r="J317" i="1"/>
  <c r="R51" i="2" s="1"/>
  <c r="S51" i="2" s="1"/>
  <c r="E198" i="1"/>
  <c r="K198" i="1" s="1"/>
  <c r="H239" i="1" s="1"/>
  <c r="H269" i="1" s="1"/>
  <c r="J292" i="1"/>
  <c r="F320" i="1"/>
  <c r="P54" i="2" s="1"/>
  <c r="F294" i="1"/>
  <c r="H54" i="2" s="1"/>
  <c r="H320" i="1"/>
  <c r="Q54" i="2" s="1"/>
  <c r="H294" i="1"/>
  <c r="J54" i="2" s="1"/>
  <c r="H319" i="1"/>
  <c r="Q53" i="2" s="1"/>
  <c r="H293" i="1"/>
  <c r="J53" i="2" s="1"/>
  <c r="D320" i="1"/>
  <c r="O54" i="2" s="1"/>
  <c r="D294" i="1"/>
  <c r="F54" i="2" s="1"/>
  <c r="K236" i="1"/>
  <c r="K266" i="1" s="1"/>
  <c r="J237" i="1"/>
  <c r="J267" i="1" s="1"/>
  <c r="F198" i="1"/>
  <c r="L198" i="1" s="1"/>
  <c r="E238" i="1"/>
  <c r="E268" i="1" s="1"/>
  <c r="D239" i="1"/>
  <c r="D269" i="1" s="1"/>
  <c r="C200" i="1"/>
  <c r="I200" i="1" s="1"/>
  <c r="F239" i="1"/>
  <c r="F269" i="1" s="1"/>
  <c r="D199" i="1"/>
  <c r="J199" i="1" s="1"/>
  <c r="G238" i="1"/>
  <c r="G268" i="1" s="1"/>
  <c r="I238" i="1"/>
  <c r="I268" i="1" s="1"/>
  <c r="B323" i="1"/>
  <c r="N57" i="2" s="1"/>
  <c r="B324" i="1"/>
  <c r="N58" i="2" s="1"/>
  <c r="L52" i="2" l="1"/>
  <c r="J318" i="1"/>
  <c r="R52" i="2" s="1"/>
  <c r="S52" i="2" s="1"/>
  <c r="E199" i="1"/>
  <c r="K199" i="1" s="1"/>
  <c r="J293" i="1"/>
  <c r="F321" i="1"/>
  <c r="P55" i="2" s="1"/>
  <c r="F295" i="1"/>
  <c r="H55" i="2" s="1"/>
  <c r="H321" i="1"/>
  <c r="Q55" i="2" s="1"/>
  <c r="H295" i="1"/>
  <c r="J55" i="2" s="1"/>
  <c r="D321" i="1"/>
  <c r="O55" i="2" s="1"/>
  <c r="D295" i="1"/>
  <c r="F55" i="2" s="1"/>
  <c r="J238" i="1"/>
  <c r="J268" i="1" s="1"/>
  <c r="K237" i="1"/>
  <c r="K267" i="1" s="1"/>
  <c r="F199" i="1"/>
  <c r="L199" i="1" s="1"/>
  <c r="E239" i="1"/>
  <c r="E269" i="1" s="1"/>
  <c r="D241" i="1"/>
  <c r="D271" i="1" s="1"/>
  <c r="I239" i="1"/>
  <c r="I269" i="1" s="1"/>
  <c r="D240" i="1"/>
  <c r="D270" i="1" s="1"/>
  <c r="F240" i="1"/>
  <c r="F270" i="1" s="1"/>
  <c r="D200" i="1"/>
  <c r="G239" i="1"/>
  <c r="G269" i="1" s="1"/>
  <c r="H240" i="1"/>
  <c r="H270" i="1" s="1"/>
  <c r="L53" i="2" l="1"/>
  <c r="J319" i="1"/>
  <c r="R53" i="2" s="1"/>
  <c r="S53" i="2" s="1"/>
  <c r="E200" i="1"/>
  <c r="K200" i="1" s="1"/>
  <c r="H241" i="1" s="1"/>
  <c r="H271" i="1" s="1"/>
  <c r="J200" i="1"/>
  <c r="F241" i="1" s="1"/>
  <c r="F271" i="1" s="1"/>
  <c r="N60" i="2"/>
  <c r="J294" i="1"/>
  <c r="H322" i="1"/>
  <c r="Q56" i="2" s="1"/>
  <c r="H296" i="1"/>
  <c r="J56" i="2" s="1"/>
  <c r="F322" i="1"/>
  <c r="P56" i="2" s="1"/>
  <c r="F296" i="1"/>
  <c r="H56" i="2" s="1"/>
  <c r="D322" i="1"/>
  <c r="O56" i="2" s="1"/>
  <c r="D296" i="1"/>
  <c r="F56" i="2" s="1"/>
  <c r="I240" i="1"/>
  <c r="I270" i="1" s="1"/>
  <c r="K238" i="1"/>
  <c r="K268" i="1" s="1"/>
  <c r="J239" i="1"/>
  <c r="J269" i="1" s="1"/>
  <c r="F200" i="1"/>
  <c r="L200" i="1" s="1"/>
  <c r="E240" i="1"/>
  <c r="E270" i="1" s="1"/>
  <c r="E241" i="1"/>
  <c r="E271" i="1" s="1"/>
  <c r="G240" i="1"/>
  <c r="G270" i="1" s="1"/>
  <c r="N196" i="2" l="1"/>
  <c r="N199" i="2" s="1"/>
  <c r="L54" i="2"/>
  <c r="J320" i="1"/>
  <c r="R54" i="2" s="1"/>
  <c r="S54" i="2" s="1"/>
  <c r="C157" i="1"/>
  <c r="G241" i="1"/>
  <c r="G271" i="1" s="1"/>
  <c r="I241" i="1"/>
  <c r="I271" i="1" s="1"/>
  <c r="J295" i="1"/>
  <c r="F323" i="1"/>
  <c r="P57" i="2" s="1"/>
  <c r="F297" i="1"/>
  <c r="H57" i="2" s="1"/>
  <c r="H323" i="1"/>
  <c r="Q57" i="2" s="1"/>
  <c r="H297" i="1"/>
  <c r="J57" i="2" s="1"/>
  <c r="D323" i="1"/>
  <c r="O57" i="2" s="1"/>
  <c r="D297" i="1"/>
  <c r="F57" i="2" s="1"/>
  <c r="D324" i="1"/>
  <c r="O58" i="2" s="1"/>
  <c r="D298" i="1"/>
  <c r="F58" i="2" s="1"/>
  <c r="K239" i="1"/>
  <c r="K269" i="1" s="1"/>
  <c r="J240" i="1"/>
  <c r="J270" i="1" s="1"/>
  <c r="J241" i="1"/>
  <c r="J271" i="1" s="1"/>
  <c r="L55" i="2" l="1"/>
  <c r="J321" i="1"/>
  <c r="R55" i="2" s="1"/>
  <c r="S55" i="2" s="1"/>
  <c r="C158" i="1"/>
  <c r="F298" i="1"/>
  <c r="H58" i="2" s="1"/>
  <c r="F324" i="1"/>
  <c r="P58" i="2" s="1"/>
  <c r="H298" i="1"/>
  <c r="J58" i="2" s="1"/>
  <c r="H324" i="1"/>
  <c r="Q58" i="2" s="1"/>
  <c r="C159" i="1"/>
  <c r="J296" i="1"/>
  <c r="O59" i="2"/>
  <c r="K241" i="1"/>
  <c r="K271" i="1" s="1"/>
  <c r="K240" i="1"/>
  <c r="K270" i="1" s="1"/>
  <c r="N200" i="2" l="1"/>
  <c r="L56" i="2"/>
  <c r="J322" i="1"/>
  <c r="R56" i="2" s="1"/>
  <c r="S56" i="2" s="1"/>
  <c r="Q59" i="2"/>
  <c r="Q60" i="2" s="1"/>
  <c r="P59" i="2"/>
  <c r="P60" i="2" s="1"/>
  <c r="P196" i="2" s="1"/>
  <c r="P199" i="2" s="1"/>
  <c r="O60" i="2"/>
  <c r="O196" i="2" s="1"/>
  <c r="J298" i="1"/>
  <c r="J297" i="1"/>
  <c r="O199" i="2" l="1"/>
  <c r="L57" i="2"/>
  <c r="J323" i="1"/>
  <c r="R57" i="2" s="1"/>
  <c r="S57" i="2" s="1"/>
  <c r="L58" i="2"/>
  <c r="J324" i="1"/>
  <c r="R58" i="2" s="1"/>
  <c r="S58" i="2" s="1"/>
  <c r="F157" i="1"/>
  <c r="D157" i="1"/>
  <c r="Q196" i="2"/>
  <c r="E157" i="1"/>
  <c r="R59" i="2" l="1"/>
  <c r="R60" i="2" s="1"/>
  <c r="F159" i="1"/>
  <c r="D159" i="1"/>
  <c r="D158" i="1"/>
  <c r="E159" i="1"/>
  <c r="E158" i="1"/>
  <c r="S59" i="2"/>
  <c r="S60" i="2" s="1"/>
  <c r="Q195" i="2"/>
  <c r="F158" i="1"/>
  <c r="Q197" i="2" s="1"/>
  <c r="Q199" i="2" l="1"/>
  <c r="R196" i="2"/>
  <c r="G157" i="1"/>
  <c r="Q200" i="2" l="1"/>
  <c r="O200" i="2"/>
  <c r="S196" i="2"/>
  <c r="G158" i="1"/>
  <c r="H158" i="1" s="1"/>
  <c r="R195" i="2"/>
  <c r="S195" i="2" s="1"/>
  <c r="G159" i="1"/>
  <c r="H159" i="1" s="1"/>
  <c r="H157" i="1"/>
  <c r="P200" i="2" l="1"/>
  <c r="R197" i="2"/>
  <c r="R199" i="2" l="1"/>
  <c r="R200" i="2" l="1"/>
  <c r="S199" i="2"/>
  <c r="S200" i="2" s="1"/>
</calcChain>
</file>

<file path=xl/comments1.xml><?xml version="1.0" encoding="utf-8"?>
<comments xmlns="http://schemas.openxmlformats.org/spreadsheetml/2006/main">
  <authors>
    <author>Alyssa Bunn</author>
  </authors>
  <commentList>
    <comment ref="R4" authorId="0">
      <text>
        <r>
          <rPr>
            <b/>
            <sz val="9"/>
            <color indexed="81"/>
            <rFont val="Tahoma"/>
            <family val="2"/>
          </rPr>
          <t>Alyssa Bunn:</t>
        </r>
        <r>
          <rPr>
            <sz val="9"/>
            <color indexed="81"/>
            <rFont val="Tahoma"/>
            <family val="2"/>
          </rPr>
          <t xml:space="preserve">
Choose FY to escalate at Fiscal Year, PY to escalate each project year starting in year 2.</t>
        </r>
      </text>
    </comment>
    <comment ref="M6" authorId="0">
      <text>
        <r>
          <rPr>
            <b/>
            <sz val="9"/>
            <color indexed="81"/>
            <rFont val="Tahoma"/>
            <family val="2"/>
          </rPr>
          <t>Alyssa Bunn:</t>
        </r>
        <r>
          <rPr>
            <sz val="9"/>
            <color indexed="81"/>
            <rFont val="Tahoma"/>
            <family val="2"/>
          </rPr>
          <t xml:space="preserve">
Choose "Multi" from dropdown in cell S4 to escalate by person</t>
        </r>
      </text>
    </comment>
    <comment ref="K74" authorId="0">
      <text>
        <r>
          <rPr>
            <b/>
            <sz val="9"/>
            <color indexed="81"/>
            <rFont val="Tahoma"/>
            <family val="2"/>
          </rPr>
          <t>Alyssa Bunn:</t>
        </r>
        <r>
          <rPr>
            <sz val="9"/>
            <color indexed="81"/>
            <rFont val="Tahoma"/>
            <family val="2"/>
          </rPr>
          <t xml:space="preserve">
for  your reference</t>
        </r>
      </text>
    </comment>
    <comment ref="I150" authorId="0">
      <text>
        <r>
          <rPr>
            <b/>
            <sz val="9"/>
            <color indexed="81"/>
            <rFont val="Tahoma"/>
            <family val="2"/>
          </rPr>
          <t>Alyssa Bunn:</t>
        </r>
        <r>
          <rPr>
            <sz val="9"/>
            <color indexed="81"/>
            <rFont val="Tahoma"/>
            <family val="2"/>
          </rPr>
          <t xml:space="preserve">
choose #GSRs to calculate by # of students; #Qrts to calculate by quarters.  Both fields can take decimals</t>
        </r>
      </text>
    </comment>
  </commentList>
</comments>
</file>

<file path=xl/sharedStrings.xml><?xml version="1.0" encoding="utf-8"?>
<sst xmlns="http://schemas.openxmlformats.org/spreadsheetml/2006/main" count="453" uniqueCount="206">
  <si>
    <t>Project Information</t>
  </si>
  <si>
    <t>Start Date:</t>
  </si>
  <si>
    <t>End Date:</t>
  </si>
  <si>
    <t>Reference Information</t>
  </si>
  <si>
    <t>Personnel</t>
  </si>
  <si>
    <t>Total Salaries</t>
  </si>
  <si>
    <t>Total Benefits</t>
  </si>
  <si>
    <t>PI(s):</t>
  </si>
  <si>
    <t>Year 1</t>
  </si>
  <si>
    <t>Year 2</t>
  </si>
  <si>
    <t>Year 3</t>
  </si>
  <si>
    <t>Year 5</t>
  </si>
  <si>
    <t>Total</t>
  </si>
  <si>
    <t>Type</t>
  </si>
  <si>
    <t>A</t>
  </si>
  <si>
    <t>B</t>
  </si>
  <si>
    <t>Benefits by Person</t>
  </si>
  <si>
    <t>%</t>
  </si>
  <si>
    <t>F</t>
  </si>
  <si>
    <t>D</t>
  </si>
  <si>
    <t>Total Personnel</t>
  </si>
  <si>
    <t>I</t>
  </si>
  <si>
    <t>Initial Fiscal Year:</t>
  </si>
  <si>
    <t>Year 4</t>
  </si>
  <si>
    <t>Project</t>
  </si>
  <si>
    <t>Months in Project Year:</t>
  </si>
  <si>
    <t>Months to fiscal Year:</t>
  </si>
  <si>
    <t>Remaining Months in PY:</t>
  </si>
  <si>
    <t>Current Fringe Rates</t>
  </si>
  <si>
    <t xml:space="preserve">C </t>
  </si>
  <si>
    <t>E</t>
  </si>
  <si>
    <t>G</t>
  </si>
  <si>
    <t>H</t>
  </si>
  <si>
    <t>14/15</t>
  </si>
  <si>
    <t>15/16</t>
  </si>
  <si>
    <t>17/18</t>
  </si>
  <si>
    <t>18/19</t>
  </si>
  <si>
    <t>19/20</t>
  </si>
  <si>
    <t>20/21</t>
  </si>
  <si>
    <t>21/22</t>
  </si>
  <si>
    <t>22/23</t>
  </si>
  <si>
    <t>23/24</t>
  </si>
  <si>
    <t>24/25</t>
  </si>
  <si>
    <t>16/17</t>
  </si>
  <si>
    <t>Project Fringe Rates</t>
  </si>
  <si>
    <t>Rate 1</t>
  </si>
  <si>
    <t>Rate 2</t>
  </si>
  <si>
    <t xml:space="preserve">Next Fiscal Year Date: </t>
  </si>
  <si>
    <t>Months at Rate 2:</t>
  </si>
  <si>
    <t>Months at Rate1:</t>
  </si>
  <si>
    <t>F-SMR</t>
  </si>
  <si>
    <t>Choose</t>
  </si>
  <si>
    <t>SMR Before FY:</t>
  </si>
  <si>
    <t>SMR After FY:</t>
  </si>
  <si>
    <t>Short Year Summer1:</t>
  </si>
  <si>
    <t>Short Year Summer2:</t>
  </si>
  <si>
    <t>Escalation:</t>
  </si>
  <si>
    <t>Todays Date</t>
  </si>
  <si>
    <t>Months till Next FY</t>
  </si>
  <si>
    <t>Current FY</t>
  </si>
  <si>
    <t>Next FY Date</t>
  </si>
  <si>
    <t>Months till start</t>
  </si>
  <si>
    <t># of fiscal years till start</t>
  </si>
  <si>
    <t>/12</t>
  </si>
  <si>
    <t>Travel</t>
  </si>
  <si>
    <t>Total Travel</t>
  </si>
  <si>
    <t>Supplies</t>
  </si>
  <si>
    <t>Total Supplies</t>
  </si>
  <si>
    <t>Subaward Costs</t>
  </si>
  <si>
    <t>Total Subaward Costs</t>
  </si>
  <si>
    <t>Consultant/Service Agreement Costs</t>
  </si>
  <si>
    <t>Total Other Contractual Costs</t>
  </si>
  <si>
    <t>Total Subaward/Contractual Costs</t>
  </si>
  <si>
    <t>Other Expenses</t>
  </si>
  <si>
    <t>Resident</t>
  </si>
  <si>
    <t>Non-Resident</t>
  </si>
  <si>
    <t>GSR Tuition/Fees</t>
  </si>
  <si>
    <t>Total GSR Tuition/Fees:</t>
  </si>
  <si>
    <t>Other Direct Costs exempt from Indirect costs</t>
  </si>
  <si>
    <t>Total Other Direct Costs</t>
  </si>
  <si>
    <t>Total Direct Costs</t>
  </si>
  <si>
    <t>Indirect Cost Base</t>
  </si>
  <si>
    <t>Indirect Costs</t>
  </si>
  <si>
    <t>Total Costs (Direct + Indirect)</t>
  </si>
  <si>
    <t>Rate Type:</t>
  </si>
  <si>
    <t>Indirect Rates</t>
  </si>
  <si>
    <t>On-Campus Research</t>
  </si>
  <si>
    <t>Off-Campus Research</t>
  </si>
  <si>
    <t>On-Campus Other Sponsored Activities</t>
  </si>
  <si>
    <t>Off-Campus Other Sponsored Activities</t>
  </si>
  <si>
    <t>Instruction</t>
  </si>
  <si>
    <t>Primate Center Federal</t>
  </si>
  <si>
    <t>Primate Center Non-Federal</t>
  </si>
  <si>
    <t>Other:</t>
  </si>
  <si>
    <t>Current Indirect Cost Rates</t>
  </si>
  <si>
    <t>Base Type:</t>
  </si>
  <si>
    <t>MTDC</t>
  </si>
  <si>
    <r>
      <t xml:space="preserve">Other: </t>
    </r>
    <r>
      <rPr>
        <sz val="11"/>
        <color rgb="FFFF0000"/>
        <rFont val="Cambria"/>
        <family val="1"/>
      </rPr>
      <t>(Enter Info Below)</t>
    </r>
  </si>
  <si>
    <t>Custom Indirect Cost Base</t>
  </si>
  <si>
    <t xml:space="preserve">Create a Custom base formula: </t>
  </si>
  <si>
    <t>Next Academic Year:</t>
  </si>
  <si>
    <t>Months till Next AY</t>
  </si>
  <si>
    <t>Months till Start</t>
  </si>
  <si>
    <t># of AY till Start</t>
  </si>
  <si>
    <t>Rates Used</t>
  </si>
  <si>
    <t>Rates as Shown</t>
  </si>
  <si>
    <t>Subaward Totals</t>
  </si>
  <si>
    <t>UC?</t>
  </si>
  <si>
    <t>Total:</t>
  </si>
  <si>
    <t>Subaward Subject to Indirect MTDC</t>
  </si>
  <si>
    <t>Subaward Subject to Indirect TC/TDC</t>
  </si>
  <si>
    <t>TDC</t>
  </si>
  <si>
    <t>TC</t>
  </si>
  <si>
    <t>Type:</t>
  </si>
  <si>
    <t>Academic months 1:</t>
  </si>
  <si>
    <t>Academic months 2:</t>
  </si>
  <si>
    <t>AY1 with Short Years:</t>
  </si>
  <si>
    <t>AY2 with Short Years:</t>
  </si>
  <si>
    <t>Graduate Student Fee Escalations</t>
  </si>
  <si>
    <t>Rate 3</t>
  </si>
  <si>
    <t>Rate 4</t>
  </si>
  <si>
    <t>Rate 5</t>
  </si>
  <si>
    <t>Rate 6</t>
  </si>
  <si>
    <t>Faculty Summer Salary-Shown</t>
  </si>
  <si>
    <t>Faculty Summer Salary-Rate Split</t>
  </si>
  <si>
    <t>Faculty Summer Rates</t>
  </si>
  <si>
    <t>Fringe Shown for Faculty Summer</t>
  </si>
  <si>
    <t>Faculty Summer $</t>
  </si>
  <si>
    <t>Escal</t>
  </si>
  <si>
    <t>Period 1</t>
  </si>
  <si>
    <t>Period 2</t>
  </si>
  <si>
    <t>Period 3</t>
  </si>
  <si>
    <t>Period 5</t>
  </si>
  <si>
    <t>Name/Role:</t>
  </si>
  <si>
    <t>Period 4</t>
  </si>
  <si>
    <t>International?</t>
  </si>
  <si>
    <t>F-SMRA</t>
  </si>
  <si>
    <t>F-SMRB</t>
  </si>
  <si>
    <t>F-SMRC</t>
  </si>
  <si>
    <t>Faculty Summer Available Months</t>
  </si>
  <si>
    <t>R1</t>
  </si>
  <si>
    <t>R2</t>
  </si>
  <si>
    <t>R1 Short:</t>
  </si>
  <si>
    <t>R2: Short</t>
  </si>
  <si>
    <t>R1: Short</t>
  </si>
  <si>
    <t xml:space="preserve">Equipment </t>
  </si>
  <si>
    <t>Total Equipment</t>
  </si>
  <si>
    <t>P1</t>
  </si>
  <si>
    <t>P2</t>
  </si>
  <si>
    <t>P3</t>
  </si>
  <si>
    <t>P4</t>
  </si>
  <si>
    <t>P5</t>
  </si>
  <si>
    <t>#GSRs</t>
  </si>
  <si>
    <t>Name or Notes</t>
  </si>
  <si>
    <t>Buy Down?</t>
  </si>
  <si>
    <t xml:space="preserve">Rates </t>
  </si>
  <si>
    <t>Discount Y/N</t>
  </si>
  <si>
    <t>Tuition Months available</t>
  </si>
  <si>
    <t>Quarters Available</t>
  </si>
  <si>
    <t>Project Period % Effort</t>
  </si>
  <si>
    <t>Per 1</t>
  </si>
  <si>
    <t>Per 2</t>
  </si>
  <si>
    <t>Per 3</t>
  </si>
  <si>
    <t>Per4</t>
  </si>
  <si>
    <t>Per5</t>
  </si>
  <si>
    <t>CAL</t>
  </si>
  <si>
    <t>Salary Basis</t>
  </si>
  <si>
    <t>Use Buydown</t>
  </si>
  <si>
    <t>Faculty Base Salary- 12 months</t>
  </si>
  <si>
    <t>Faculty Base Salary- 11 months</t>
  </si>
  <si>
    <t>Faculty Base Salary- 9 months</t>
  </si>
  <si>
    <t>*</t>
  </si>
  <si>
    <t>Title:</t>
  </si>
  <si>
    <t xml:space="preserve">Total Subaward Indirect Costs: </t>
  </si>
  <si>
    <t>`</t>
  </si>
  <si>
    <t>Total Domestic Travel</t>
  </si>
  <si>
    <t>Total International Travel</t>
  </si>
  <si>
    <t>No</t>
  </si>
  <si>
    <t>Fiscal Year Ranges for Split</t>
  </si>
  <si>
    <t>Primate</t>
  </si>
  <si>
    <t>Annual Salary</t>
  </si>
  <si>
    <t>Primate Center Costs</t>
  </si>
  <si>
    <t>PY</t>
  </si>
  <si>
    <t>UC</t>
  </si>
  <si>
    <t>Multi</t>
  </si>
  <si>
    <t>12 Months</t>
  </si>
  <si>
    <t>Federal</t>
  </si>
  <si>
    <t>NIH</t>
  </si>
  <si>
    <t>Award DC</t>
  </si>
  <si>
    <t>Award IDC</t>
  </si>
  <si>
    <t>7/1/18-6/30/19</t>
  </si>
  <si>
    <t>7/1/19-6/30/20</t>
  </si>
  <si>
    <t>7/1/20-6/30/21</t>
  </si>
  <si>
    <t>FY 2019 Preliminary Fringe Rates:</t>
  </si>
  <si>
    <t>Faculty:</t>
  </si>
  <si>
    <t xml:space="preserve">Professional Staff </t>
  </si>
  <si>
    <t>Classified Staff</t>
  </si>
  <si>
    <t>Post doc trainee</t>
  </si>
  <si>
    <t>Grad Student</t>
  </si>
  <si>
    <t>N/A</t>
  </si>
  <si>
    <t>TBN</t>
  </si>
  <si>
    <t xml:space="preserve">Other Direct Costs </t>
  </si>
  <si>
    <t>PI #2</t>
  </si>
  <si>
    <t xml:space="preserve">PI #1 </t>
  </si>
  <si>
    <t>example: Particpant Incentives ($50/hr for one hour focus group with 7 participants)</t>
  </si>
  <si>
    <t>example: WPRN clinic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</si>
</sst>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  <numFmt numFmtId="167" formatCode="&quot;$&quot;#,##0"/>
    <numFmt numFmtId="168" formatCode="_(* #,##0.000_);_(* \(#,##0.000\);_(* &quot;-&quot;??_);_(@_)"/>
    <numFmt numFmtId="169" formatCode="0.0%"/>
    <numFmt numFmtId="170" formatCode="_(* #,##0.0000_);_(* \(#,##0.0000\);_(* &quot;-&quot;??_);_(@_)"/>
    <numFmt numFmtId="171" formatCode="0.0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i/>
      <sz val="11"/>
      <color theme="1"/>
      <name val="Cambria"/>
      <family val="1"/>
    </font>
    <font>
      <sz val="10"/>
      <name val="Arial"/>
      <family val="2"/>
    </font>
    <font>
      <b/>
      <sz val="9"/>
      <color theme="1"/>
      <name val="Cambria"/>
      <family val="1"/>
    </font>
    <font>
      <b/>
      <i/>
      <sz val="9"/>
      <color theme="1"/>
      <name val="Cambria"/>
      <family val="1"/>
    </font>
    <font>
      <b/>
      <sz val="9"/>
      <name val="Cambria"/>
      <family val="1"/>
    </font>
    <font>
      <sz val="11"/>
      <color rgb="FFFF0000"/>
      <name val="Cambria"/>
      <family val="1"/>
    </font>
    <font>
      <sz val="9"/>
      <color theme="1"/>
      <name val="Cambria"/>
      <family val="1"/>
    </font>
    <font>
      <sz val="9"/>
      <color theme="0"/>
      <name val="Cambria"/>
      <family val="1"/>
    </font>
    <font>
      <b/>
      <sz val="9"/>
      <color rgb="FFC00000"/>
      <name val="Cambria"/>
      <family val="1"/>
    </font>
    <font>
      <b/>
      <i/>
      <sz val="9"/>
      <name val="Cambria"/>
      <family val="1"/>
    </font>
    <font>
      <sz val="9"/>
      <name val="Cambria"/>
      <family val="1"/>
    </font>
    <font>
      <i/>
      <sz val="9"/>
      <color theme="1"/>
      <name val="Cambria"/>
      <family val="1"/>
    </font>
    <font>
      <b/>
      <sz val="9"/>
      <color rgb="FFFF0000"/>
      <name val="Cambria"/>
      <family val="1"/>
    </font>
    <font>
      <b/>
      <sz val="11"/>
      <color theme="5"/>
      <name val="Cambria"/>
      <family val="1"/>
    </font>
    <font>
      <i/>
      <sz val="11"/>
      <color theme="1"/>
      <name val="Cambria"/>
      <family val="1"/>
    </font>
    <font>
      <sz val="10"/>
      <name val="Arial"/>
      <family val="2"/>
    </font>
    <font>
      <b/>
      <sz val="9"/>
      <color indexed="81"/>
      <name val="Tahoma"/>
      <family val="2"/>
    </font>
    <font>
      <b/>
      <sz val="8"/>
      <color theme="1"/>
      <name val="Cambria"/>
      <family val="1"/>
    </font>
    <font>
      <sz val="9"/>
      <color indexed="81"/>
      <name val="Tahoma"/>
      <family val="2"/>
    </font>
    <font>
      <b/>
      <sz val="11"/>
      <color theme="5" tint="-0.249977111117893"/>
      <name val="Cambria"/>
      <family val="1"/>
    </font>
    <font>
      <b/>
      <sz val="9"/>
      <color theme="5" tint="-0.249977111117893"/>
      <name val="Cambria"/>
      <family val="1"/>
    </font>
    <font>
      <b/>
      <i/>
      <sz val="9"/>
      <color rgb="FFC00000"/>
      <name val="Cambria"/>
      <family val="1"/>
    </font>
    <font>
      <b/>
      <sz val="8"/>
      <name val="Cambria"/>
      <family val="1"/>
    </font>
    <font>
      <b/>
      <sz val="9"/>
      <color theme="8" tint="-0.249977111117893"/>
      <name val="Cambria"/>
      <family val="1"/>
    </font>
    <font>
      <b/>
      <i/>
      <sz val="9"/>
      <color theme="8" tint="-0.249977111117893"/>
      <name val="Cambria"/>
      <family val="1"/>
    </font>
    <font>
      <b/>
      <i/>
      <sz val="9"/>
      <color theme="8" tint="-0.499984740745262"/>
      <name val="Cambria"/>
      <family val="1"/>
    </font>
    <font>
      <sz val="11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2F7F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theme="5" tint="-0.24994659260841701"/>
      </right>
      <top style="thick">
        <color theme="5" tint="-0.24994659260841701"/>
      </top>
      <bottom style="thick">
        <color theme="5" tint="-0.24994659260841701"/>
      </bottom>
      <diagonal/>
    </border>
    <border>
      <left style="medium">
        <color theme="5" tint="-0.24994659260841701"/>
      </left>
      <right/>
      <top style="thick">
        <color theme="5" tint="-0.24994659260841701"/>
      </top>
      <bottom style="thick">
        <color theme="5" tint="-0.24994659260841701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50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horizontal="right"/>
    </xf>
    <xf numFmtId="0" fontId="2" fillId="2" borderId="4" xfId="0" applyFont="1" applyFill="1" applyBorder="1"/>
    <xf numFmtId="14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43" fontId="2" fillId="2" borderId="4" xfId="1" applyFont="1" applyFill="1" applyBorder="1" applyAlignment="1">
      <alignment horizontal="right"/>
    </xf>
    <xf numFmtId="2" fontId="2" fillId="2" borderId="4" xfId="1" applyNumberFormat="1" applyFont="1" applyFill="1" applyBorder="1" applyAlignment="1">
      <alignment horizontal="right"/>
    </xf>
    <xf numFmtId="0" fontId="3" fillId="2" borderId="4" xfId="0" applyFont="1" applyFill="1" applyBorder="1"/>
    <xf numFmtId="0" fontId="3" fillId="2" borderId="4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center"/>
    </xf>
    <xf numFmtId="2" fontId="2" fillId="2" borderId="0" xfId="0" applyNumberFormat="1" applyFont="1" applyFill="1"/>
    <xf numFmtId="14" fontId="2" fillId="2" borderId="0" xfId="0" applyNumberFormat="1" applyFont="1" applyFill="1" applyBorder="1" applyAlignment="1">
      <alignment horizontal="right"/>
    </xf>
    <xf numFmtId="43" fontId="2" fillId="2" borderId="4" xfId="0" applyNumberFormat="1" applyFont="1" applyFill="1" applyBorder="1" applyAlignment="1">
      <alignment horizontal="right"/>
    </xf>
    <xf numFmtId="43" fontId="2" fillId="2" borderId="4" xfId="1" applyNumberFormat="1" applyFont="1" applyFill="1" applyBorder="1" applyAlignment="1">
      <alignment horizontal="right"/>
    </xf>
    <xf numFmtId="165" fontId="2" fillId="2" borderId="4" xfId="1" applyNumberFormat="1" applyFont="1" applyFill="1" applyBorder="1" applyAlignment="1">
      <alignment horizontal="right"/>
    </xf>
    <xf numFmtId="43" fontId="2" fillId="2" borderId="0" xfId="0" applyNumberFormat="1" applyFont="1" applyFill="1"/>
    <xf numFmtId="43" fontId="2" fillId="2" borderId="0" xfId="1" applyNumberFormat="1" applyFont="1" applyFill="1"/>
    <xf numFmtId="0" fontId="2" fillId="2" borderId="4" xfId="0" applyFont="1" applyFill="1" applyBorder="1" applyAlignment="1">
      <alignment horizontal="center"/>
    </xf>
    <xf numFmtId="166" fontId="2" fillId="2" borderId="4" xfId="0" applyNumberFormat="1" applyFont="1" applyFill="1" applyBorder="1"/>
    <xf numFmtId="43" fontId="2" fillId="2" borderId="4" xfId="1" applyFont="1" applyFill="1" applyBorder="1" applyAlignment="1">
      <alignment horizontal="right" wrapText="1"/>
    </xf>
    <xf numFmtId="43" fontId="2" fillId="2" borderId="0" xfId="1" applyFont="1" applyFill="1" applyBorder="1"/>
    <xf numFmtId="0" fontId="2" fillId="2" borderId="0" xfId="0" applyFont="1" applyFill="1" applyBorder="1"/>
    <xf numFmtId="16" fontId="2" fillId="2" borderId="0" xfId="0" applyNumberFormat="1" applyFont="1" applyFill="1" applyBorder="1"/>
    <xf numFmtId="43" fontId="2" fillId="2" borderId="0" xfId="0" applyNumberFormat="1" applyFont="1" applyFill="1" applyBorder="1"/>
    <xf numFmtId="9" fontId="2" fillId="2" borderId="4" xfId="0" applyNumberFormat="1" applyFont="1" applyFill="1" applyBorder="1"/>
    <xf numFmtId="43" fontId="2" fillId="2" borderId="0" xfId="1" applyFont="1" applyFill="1" applyBorder="1" applyAlignment="1">
      <alignment horizontal="right"/>
    </xf>
    <xf numFmtId="14" fontId="2" fillId="2" borderId="9" xfId="0" applyNumberFormat="1" applyFont="1" applyFill="1" applyBorder="1" applyAlignment="1">
      <alignment horizontal="right"/>
    </xf>
    <xf numFmtId="14" fontId="2" fillId="2" borderId="15" xfId="0" applyNumberFormat="1" applyFont="1" applyFill="1" applyBorder="1" applyAlignment="1">
      <alignment horizontal="right"/>
    </xf>
    <xf numFmtId="14" fontId="2" fillId="2" borderId="7" xfId="0" applyNumberFormat="1" applyFont="1" applyFill="1" applyBorder="1" applyAlignment="1">
      <alignment horizontal="right"/>
    </xf>
    <xf numFmtId="14" fontId="2" fillId="2" borderId="11" xfId="0" applyNumberFormat="1" applyFont="1" applyFill="1" applyBorder="1" applyAlignment="1">
      <alignment horizontal="right"/>
    </xf>
    <xf numFmtId="14" fontId="2" fillId="2" borderId="12" xfId="0" applyNumberFormat="1" applyFont="1" applyFill="1" applyBorder="1" applyAlignment="1">
      <alignment horizontal="right"/>
    </xf>
    <xf numFmtId="14" fontId="2" fillId="2" borderId="13" xfId="0" applyNumberFormat="1" applyFont="1" applyFill="1" applyBorder="1" applyAlignment="1">
      <alignment horizontal="right"/>
    </xf>
    <xf numFmtId="14" fontId="2" fillId="2" borderId="6" xfId="0" applyNumberFormat="1" applyFont="1" applyFill="1" applyBorder="1" applyAlignment="1">
      <alignment horizontal="right"/>
    </xf>
    <xf numFmtId="14" fontId="2" fillId="2" borderId="10" xfId="0" applyNumberFormat="1" applyFont="1" applyFill="1" applyBorder="1" applyAlignment="1">
      <alignment horizontal="right"/>
    </xf>
    <xf numFmtId="43" fontId="2" fillId="2" borderId="8" xfId="1" applyFont="1" applyFill="1" applyBorder="1" applyAlignment="1">
      <alignment horizontal="right"/>
    </xf>
    <xf numFmtId="9" fontId="2" fillId="2" borderId="4" xfId="2" applyFont="1" applyFill="1" applyBorder="1"/>
    <xf numFmtId="9" fontId="2" fillId="2" borderId="0" xfId="2" applyFont="1" applyFill="1"/>
    <xf numFmtId="0" fontId="10" fillId="2" borderId="0" xfId="0" applyFont="1" applyFill="1"/>
    <xf numFmtId="0" fontId="2" fillId="2" borderId="4" xfId="0" applyFont="1" applyFill="1" applyBorder="1" applyAlignment="1">
      <alignment horizontal="left"/>
    </xf>
    <xf numFmtId="164" fontId="2" fillId="2" borderId="4" xfId="1" applyNumberFormat="1" applyFont="1" applyFill="1" applyBorder="1"/>
    <xf numFmtId="164" fontId="2" fillId="2" borderId="4" xfId="0" applyNumberFormat="1" applyFont="1" applyFill="1" applyBorder="1"/>
    <xf numFmtId="0" fontId="3" fillId="2" borderId="0" xfId="0" applyFont="1" applyFill="1" applyBorder="1" applyAlignment="1">
      <alignment horizontal="right"/>
    </xf>
    <xf numFmtId="164" fontId="2" fillId="2" borderId="0" xfId="1" applyNumberFormat="1" applyFont="1" applyFill="1" applyBorder="1"/>
    <xf numFmtId="0" fontId="2" fillId="2" borderId="8" xfId="0" applyFont="1" applyFill="1" applyBorder="1"/>
    <xf numFmtId="0" fontId="2" fillId="2" borderId="14" xfId="0" applyFont="1" applyFill="1" applyBorder="1"/>
    <xf numFmtId="0" fontId="2" fillId="2" borderId="5" xfId="0" applyFont="1" applyFill="1" applyBorder="1"/>
    <xf numFmtId="14" fontId="10" fillId="2" borderId="0" xfId="0" applyNumberFormat="1" applyFont="1" applyFill="1"/>
    <xf numFmtId="0" fontId="10" fillId="4" borderId="2" xfId="0" applyFont="1" applyFill="1" applyBorder="1"/>
    <xf numFmtId="0" fontId="6" fillId="4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164" fontId="6" fillId="2" borderId="0" xfId="1" applyNumberFormat="1" applyFont="1" applyFill="1" applyBorder="1"/>
    <xf numFmtId="0" fontId="14" fillId="4" borderId="2" xfId="0" applyFont="1" applyFill="1" applyBorder="1"/>
    <xf numFmtId="0" fontId="14" fillId="4" borderId="4" xfId="0" applyFont="1" applyFill="1" applyBorder="1"/>
    <xf numFmtId="0" fontId="14" fillId="4" borderId="3" xfId="0" applyFont="1" applyFill="1" applyBorder="1"/>
    <xf numFmtId="0" fontId="10" fillId="4" borderId="3" xfId="0" applyFont="1" applyFill="1" applyBorder="1"/>
    <xf numFmtId="0" fontId="7" fillId="4" borderId="1" xfId="0" applyFont="1" applyFill="1" applyBorder="1"/>
    <xf numFmtId="0" fontId="10" fillId="4" borderId="2" xfId="0" applyFont="1" applyFill="1" applyBorder="1" applyAlignment="1"/>
    <xf numFmtId="0" fontId="10" fillId="2" borderId="1" xfId="0" applyFont="1" applyFill="1" applyBorder="1"/>
    <xf numFmtId="0" fontId="10" fillId="2" borderId="15" xfId="0" applyFont="1" applyFill="1" applyBorder="1"/>
    <xf numFmtId="0" fontId="7" fillId="2" borderId="1" xfId="0" applyFont="1" applyFill="1" applyBorder="1"/>
    <xf numFmtId="37" fontId="10" fillId="2" borderId="4" xfId="1" applyNumberFormat="1" applyFont="1" applyFill="1" applyBorder="1"/>
    <xf numFmtId="37" fontId="15" fillId="2" borderId="3" xfId="0" applyNumberFormat="1" applyFont="1" applyFill="1" applyBorder="1"/>
    <xf numFmtId="0" fontId="10" fillId="4" borderId="6" xfId="0" applyFont="1" applyFill="1" applyBorder="1"/>
    <xf numFmtId="0" fontId="10" fillId="4" borderId="10" xfId="0" applyFont="1" applyFill="1" applyBorder="1"/>
    <xf numFmtId="167" fontId="6" fillId="4" borderId="4" xfId="4" applyNumberFormat="1" applyFont="1" applyFill="1" applyBorder="1"/>
    <xf numFmtId="0" fontId="2" fillId="2" borderId="0" xfId="0" applyFont="1" applyFill="1" applyBorder="1" applyAlignment="1">
      <alignment horizontal="right"/>
    </xf>
    <xf numFmtId="43" fontId="2" fillId="2" borderId="4" xfId="1" applyFont="1" applyFill="1" applyBorder="1"/>
    <xf numFmtId="0" fontId="8" fillId="4" borderId="2" xfId="0" applyFont="1" applyFill="1" applyBorder="1"/>
    <xf numFmtId="0" fontId="17" fillId="2" borderId="4" xfId="0" applyFont="1" applyFill="1" applyBorder="1" applyAlignment="1">
      <alignment horizontal="right"/>
    </xf>
    <xf numFmtId="14" fontId="17" fillId="2" borderId="4" xfId="0" applyNumberFormat="1" applyFont="1" applyFill="1" applyBorder="1" applyAlignment="1">
      <alignment horizontal="right"/>
    </xf>
    <xf numFmtId="43" fontId="17" fillId="2" borderId="4" xfId="1" applyFont="1" applyFill="1" applyBorder="1" applyAlignment="1">
      <alignment horizontal="right"/>
    </xf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165" fontId="2" fillId="2" borderId="0" xfId="0" applyNumberFormat="1" applyFont="1" applyFill="1"/>
    <xf numFmtId="0" fontId="2" fillId="2" borderId="4" xfId="0" applyFont="1" applyFill="1" applyBorder="1" applyAlignment="1">
      <alignment vertical="center"/>
    </xf>
    <xf numFmtId="0" fontId="4" fillId="2" borderId="4" xfId="0" applyFont="1" applyFill="1" applyBorder="1"/>
    <xf numFmtId="0" fontId="2" fillId="2" borderId="0" xfId="0" applyFont="1" applyFill="1" applyBorder="1" applyAlignment="1">
      <alignment vertical="center"/>
    </xf>
    <xf numFmtId="0" fontId="18" fillId="2" borderId="4" xfId="0" applyFont="1" applyFill="1" applyBorder="1"/>
    <xf numFmtId="168" fontId="3" fillId="2" borderId="4" xfId="1" applyNumberFormat="1" applyFont="1" applyFill="1" applyBorder="1" applyAlignment="1"/>
    <xf numFmtId="0" fontId="13" fillId="4" borderId="2" xfId="0" applyFont="1" applyFill="1" applyBorder="1" applyAlignment="1">
      <alignment horizontal="left"/>
    </xf>
    <xf numFmtId="14" fontId="2" fillId="2" borderId="0" xfId="0" applyNumberFormat="1" applyFont="1" applyFill="1"/>
    <xf numFmtId="37" fontId="10" fillId="2" borderId="4" xfId="0" applyNumberFormat="1" applyFont="1" applyFill="1" applyBorder="1"/>
    <xf numFmtId="3" fontId="10" fillId="2" borderId="4" xfId="0" applyNumberFormat="1" applyFont="1" applyFill="1" applyBorder="1"/>
    <xf numFmtId="3" fontId="14" fillId="4" borderId="4" xfId="0" applyNumberFormat="1" applyFont="1" applyFill="1" applyBorder="1"/>
    <xf numFmtId="37" fontId="8" fillId="4" borderId="4" xfId="0" applyNumberFormat="1" applyFont="1" applyFill="1" applyBorder="1"/>
    <xf numFmtId="3" fontId="10" fillId="2" borderId="4" xfId="1" applyNumberFormat="1" applyFont="1" applyFill="1" applyBorder="1"/>
    <xf numFmtId="3" fontId="8" fillId="4" borderId="4" xfId="0" applyNumberFormat="1" applyFont="1" applyFill="1" applyBorder="1"/>
    <xf numFmtId="0" fontId="6" fillId="2" borderId="11" xfId="0" applyFont="1" applyFill="1" applyBorder="1" applyAlignment="1">
      <alignment horizontal="left"/>
    </xf>
    <xf numFmtId="0" fontId="10" fillId="2" borderId="9" xfId="0" applyFont="1" applyFill="1" applyBorder="1"/>
    <xf numFmtId="0" fontId="13" fillId="4" borderId="1" xfId="0" applyFont="1" applyFill="1" applyBorder="1"/>
    <xf numFmtId="0" fontId="6" fillId="4" borderId="1" xfId="0" applyFont="1" applyFill="1" applyBorder="1"/>
    <xf numFmtId="0" fontId="13" fillId="4" borderId="1" xfId="0" applyFont="1" applyFill="1" applyBorder="1" applyAlignment="1">
      <alignment horizontal="left"/>
    </xf>
    <xf numFmtId="0" fontId="13" fillId="4" borderId="2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center"/>
    </xf>
    <xf numFmtId="3" fontId="15" fillId="2" borderId="4" xfId="0" applyNumberFormat="1" applyFont="1" applyFill="1" applyBorder="1"/>
    <xf numFmtId="0" fontId="13" fillId="4" borderId="1" xfId="0" applyFont="1" applyFill="1" applyBorder="1" applyAlignment="1"/>
    <xf numFmtId="0" fontId="13" fillId="4" borderId="2" xfId="0" applyFont="1" applyFill="1" applyBorder="1" applyAlignment="1"/>
    <xf numFmtId="0" fontId="14" fillId="4" borderId="2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center"/>
    </xf>
    <xf numFmtId="0" fontId="6" fillId="2" borderId="3" xfId="0" applyFont="1" applyFill="1" applyBorder="1"/>
    <xf numFmtId="0" fontId="6" fillId="2" borderId="10" xfId="0" applyFont="1" applyFill="1" applyBorder="1"/>
    <xf numFmtId="0" fontId="10" fillId="2" borderId="13" xfId="0" applyFont="1" applyFill="1" applyBorder="1"/>
    <xf numFmtId="14" fontId="2" fillId="2" borderId="4" xfId="1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43" fontId="2" fillId="2" borderId="4" xfId="0" applyNumberFormat="1" applyFont="1" applyFill="1" applyBorder="1"/>
    <xf numFmtId="0" fontId="2" fillId="2" borderId="0" xfId="0" applyFont="1" applyFill="1" applyBorder="1" applyAlignment="1">
      <alignment horizontal="left" vertical="center"/>
    </xf>
    <xf numFmtId="0" fontId="23" fillId="2" borderId="4" xfId="0" applyFont="1" applyFill="1" applyBorder="1"/>
    <xf numFmtId="9" fontId="6" fillId="4" borderId="5" xfId="0" applyNumberFormat="1" applyFont="1" applyFill="1" applyBorder="1" applyAlignment="1">
      <alignment horizontal="center"/>
    </xf>
    <xf numFmtId="170" fontId="2" fillId="2" borderId="4" xfId="1" applyNumberFormat="1" applyFont="1" applyFill="1" applyBorder="1" applyAlignment="1">
      <alignment horizontal="right"/>
    </xf>
    <xf numFmtId="169" fontId="2" fillId="2" borderId="4" xfId="2" applyNumberFormat="1" applyFont="1" applyFill="1" applyBorder="1"/>
    <xf numFmtId="0" fontId="14" fillId="4" borderId="6" xfId="0" applyFont="1" applyFill="1" applyBorder="1"/>
    <xf numFmtId="0" fontId="6" fillId="4" borderId="2" xfId="0" applyFont="1" applyFill="1" applyBorder="1"/>
    <xf numFmtId="0" fontId="6" fillId="4" borderId="2" xfId="0" applyFont="1" applyFill="1" applyBorder="1" applyAlignment="1"/>
    <xf numFmtId="0" fontId="6" fillId="3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71" fontId="3" fillId="2" borderId="4" xfId="0" applyNumberFormat="1" applyFont="1" applyFill="1" applyBorder="1" applyAlignment="1">
      <alignment horizontal="right"/>
    </xf>
    <xf numFmtId="0" fontId="6" fillId="4" borderId="1" xfId="0" applyFont="1" applyFill="1" applyBorder="1" applyAlignment="1">
      <alignment horizontal="center"/>
    </xf>
    <xf numFmtId="165" fontId="2" fillId="2" borderId="4" xfId="0" applyNumberFormat="1" applyFont="1" applyFill="1" applyBorder="1"/>
    <xf numFmtId="167" fontId="27" fillId="2" borderId="4" xfId="4" applyNumberFormat="1" applyFont="1" applyFill="1" applyBorder="1"/>
    <xf numFmtId="167" fontId="28" fillId="2" borderId="4" xfId="4" applyNumberFormat="1" applyFont="1" applyFill="1" applyBorder="1"/>
    <xf numFmtId="37" fontId="6" fillId="5" borderId="4" xfId="1" applyNumberFormat="1" applyFont="1" applyFill="1" applyBorder="1"/>
    <xf numFmtId="3" fontId="6" fillId="5" borderId="4" xfId="1" applyNumberFormat="1" applyFont="1" applyFill="1" applyBorder="1"/>
    <xf numFmtId="0" fontId="14" fillId="5" borderId="2" xfId="0" applyFont="1" applyFill="1" applyBorder="1"/>
    <xf numFmtId="3" fontId="8" fillId="5" borderId="4" xfId="0" applyNumberFormat="1" applyFont="1" applyFill="1" applyBorder="1"/>
    <xf numFmtId="37" fontId="8" fillId="5" borderId="4" xfId="0" applyNumberFormat="1" applyFont="1" applyFill="1" applyBorder="1"/>
    <xf numFmtId="0" fontId="14" fillId="5" borderId="1" xfId="0" applyFont="1" applyFill="1" applyBorder="1"/>
    <xf numFmtId="0" fontId="14" fillId="5" borderId="3" xfId="0" applyFont="1" applyFill="1" applyBorder="1"/>
    <xf numFmtId="0" fontId="13" fillId="5" borderId="1" xfId="0" applyFont="1" applyFill="1" applyBorder="1" applyAlignment="1"/>
    <xf numFmtId="0" fontId="13" fillId="5" borderId="2" xfId="0" applyFont="1" applyFill="1" applyBorder="1" applyAlignment="1"/>
    <xf numFmtId="37" fontId="14" fillId="5" borderId="4" xfId="0" applyNumberFormat="1" applyFont="1" applyFill="1" applyBorder="1"/>
    <xf numFmtId="3" fontId="14" fillId="5" borderId="4" xfId="0" applyNumberFormat="1" applyFont="1" applyFill="1" applyBorder="1"/>
    <xf numFmtId="0" fontId="6" fillId="5" borderId="1" xfId="0" applyFont="1" applyFill="1" applyBorder="1"/>
    <xf numFmtId="0" fontId="10" fillId="5" borderId="2" xfId="0" applyFont="1" applyFill="1" applyBorder="1"/>
    <xf numFmtId="0" fontId="10" fillId="5" borderId="3" xfId="0" applyFont="1" applyFill="1" applyBorder="1"/>
    <xf numFmtId="37" fontId="7" fillId="7" borderId="4" xfId="1" applyNumberFormat="1" applyFont="1" applyFill="1" applyBorder="1"/>
    <xf numFmtId="37" fontId="6" fillId="7" borderId="4" xfId="1" applyNumberFormat="1" applyFont="1" applyFill="1" applyBorder="1"/>
    <xf numFmtId="14" fontId="2" fillId="2" borderId="8" xfId="0" applyNumberFormat="1" applyFont="1" applyFill="1" applyBorder="1" applyAlignment="1">
      <alignment horizontal="right"/>
    </xf>
    <xf numFmtId="14" fontId="2" fillId="2" borderId="14" xfId="0" applyNumberFormat="1" applyFont="1" applyFill="1" applyBorder="1" applyAlignment="1">
      <alignment horizontal="right"/>
    </xf>
    <xf numFmtId="14" fontId="2" fillId="2" borderId="5" xfId="0" applyNumberFormat="1" applyFont="1" applyFill="1" applyBorder="1" applyAlignment="1">
      <alignment horizontal="right"/>
    </xf>
    <xf numFmtId="0" fontId="6" fillId="4" borderId="1" xfId="0" applyFont="1" applyFill="1" applyBorder="1" applyAlignment="1" applyProtection="1">
      <alignment horizontal="center"/>
      <protection locked="0"/>
    </xf>
    <xf numFmtId="37" fontId="10" fillId="2" borderId="4" xfId="1" applyNumberFormat="1" applyFont="1" applyFill="1" applyBorder="1" applyProtection="1">
      <protection hidden="1"/>
    </xf>
    <xf numFmtId="3" fontId="10" fillId="2" borderId="4" xfId="1" applyNumberFormat="1" applyFont="1" applyFill="1" applyBorder="1" applyProtection="1">
      <protection hidden="1"/>
    </xf>
    <xf numFmtId="37" fontId="6" fillId="5" borderId="4" xfId="1" applyNumberFormat="1" applyFont="1" applyFill="1" applyBorder="1" applyProtection="1">
      <protection hidden="1"/>
    </xf>
    <xf numFmtId="0" fontId="10" fillId="2" borderId="4" xfId="0" applyFont="1" applyFill="1" applyBorder="1" applyAlignment="1" applyProtection="1">
      <alignment horizontal="center"/>
      <protection locked="0"/>
    </xf>
    <xf numFmtId="9" fontId="11" fillId="2" borderId="3" xfId="0" applyNumberFormat="1" applyFont="1" applyFill="1" applyBorder="1" applyProtection="1">
      <protection locked="0"/>
    </xf>
    <xf numFmtId="0" fontId="6" fillId="2" borderId="11" xfId="0" applyFont="1" applyFill="1" applyBorder="1" applyAlignment="1" applyProtection="1">
      <alignment horizontal="left"/>
      <protection locked="0"/>
    </xf>
    <xf numFmtId="164" fontId="10" fillId="2" borderId="2" xfId="0" applyNumberFormat="1" applyFont="1" applyFill="1" applyBorder="1" applyAlignment="1" applyProtection="1">
      <protection locked="0"/>
    </xf>
    <xf numFmtId="164" fontId="10" fillId="2" borderId="3" xfId="0" applyNumberFormat="1" applyFont="1" applyFill="1" applyBorder="1" applyAlignment="1" applyProtection="1">
      <protection locked="0"/>
    </xf>
    <xf numFmtId="164" fontId="10" fillId="2" borderId="1" xfId="1" applyNumberFormat="1" applyFont="1" applyFill="1" applyBorder="1" applyAlignment="1" applyProtection="1">
      <protection locked="0"/>
    </xf>
    <xf numFmtId="14" fontId="12" fillId="2" borderId="4" xfId="0" applyNumberFormat="1" applyFont="1" applyFill="1" applyBorder="1" applyProtection="1"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 applyProtection="1">
      <alignment horizontal="center"/>
      <protection hidden="1"/>
    </xf>
    <xf numFmtId="0" fontId="10" fillId="2" borderId="9" xfId="0" applyFont="1" applyFill="1" applyBorder="1" applyAlignment="1" applyProtection="1">
      <alignment horizontal="center"/>
      <protection locked="0"/>
    </xf>
    <xf numFmtId="3" fontId="6" fillId="5" borderId="4" xfId="1" applyNumberFormat="1" applyFont="1" applyFill="1" applyBorder="1" applyProtection="1">
      <protection hidden="1"/>
    </xf>
    <xf numFmtId="3" fontId="6" fillId="4" borderId="4" xfId="1" applyNumberFormat="1" applyFont="1" applyFill="1" applyBorder="1" applyProtection="1">
      <protection hidden="1"/>
    </xf>
    <xf numFmtId="0" fontId="10" fillId="2" borderId="2" xfId="0" applyFont="1" applyFill="1" applyBorder="1" applyProtection="1">
      <protection locked="0"/>
    </xf>
    <xf numFmtId="3" fontId="10" fillId="2" borderId="4" xfId="0" applyNumberFormat="1" applyFont="1" applyFill="1" applyBorder="1" applyProtection="1">
      <protection locked="0"/>
    </xf>
    <xf numFmtId="37" fontId="10" fillId="2" borderId="4" xfId="1" applyNumberFormat="1" applyFont="1" applyFill="1" applyBorder="1" applyProtection="1">
      <protection locked="0"/>
    </xf>
    <xf numFmtId="37" fontId="10" fillId="2" borderId="4" xfId="0" applyNumberFormat="1" applyFont="1" applyFill="1" applyBorder="1" applyProtection="1">
      <protection locked="0"/>
    </xf>
    <xf numFmtId="9" fontId="10" fillId="2" borderId="3" xfId="0" applyNumberFormat="1" applyFont="1" applyFill="1" applyBorder="1" applyAlignment="1" applyProtection="1">
      <alignment horizontal="center"/>
      <protection locked="0"/>
    </xf>
    <xf numFmtId="0" fontId="10" fillId="2" borderId="4" xfId="0" applyFont="1" applyFill="1" applyBorder="1" applyProtection="1">
      <protection locked="0"/>
    </xf>
    <xf numFmtId="0" fontId="6" fillId="3" borderId="4" xfId="0" applyFont="1" applyFill="1" applyBorder="1" applyAlignment="1" applyProtection="1">
      <alignment horizontal="center"/>
      <protection locked="0"/>
    </xf>
    <xf numFmtId="0" fontId="26" fillId="3" borderId="5" xfId="0" applyFont="1" applyFill="1" applyBorder="1" applyAlignment="1" applyProtection="1">
      <alignment horizontal="center"/>
      <protection locked="0"/>
    </xf>
    <xf numFmtId="0" fontId="10" fillId="4" borderId="2" xfId="0" applyFont="1" applyFill="1" applyBorder="1" applyProtection="1">
      <protection locked="0"/>
    </xf>
    <xf numFmtId="0" fontId="10" fillId="4" borderId="3" xfId="0" applyFont="1" applyFill="1" applyBorder="1" applyProtection="1">
      <protection locked="0"/>
    </xf>
    <xf numFmtId="3" fontId="14" fillId="4" borderId="4" xfId="0" applyNumberFormat="1" applyFont="1" applyFill="1" applyBorder="1" applyProtection="1">
      <protection locked="0"/>
    </xf>
    <xf numFmtId="3" fontId="10" fillId="2" borderId="4" xfId="1" applyNumberFormat="1" applyFont="1" applyFill="1" applyBorder="1" applyProtection="1">
      <protection locked="0"/>
    </xf>
    <xf numFmtId="9" fontId="6" fillId="4" borderId="16" xfId="0" applyNumberFormat="1" applyFont="1" applyFill="1" applyBorder="1" applyAlignment="1" applyProtection="1">
      <alignment horizontal="center"/>
      <protection locked="0"/>
    </xf>
    <xf numFmtId="3" fontId="2" fillId="2" borderId="4" xfId="0" applyNumberFormat="1" applyFont="1" applyFill="1" applyBorder="1"/>
    <xf numFmtId="9" fontId="10" fillId="8" borderId="4" xfId="2" applyNumberFormat="1" applyFont="1" applyFill="1" applyBorder="1" applyProtection="1">
      <protection locked="0"/>
    </xf>
    <xf numFmtId="0" fontId="10" fillId="2" borderId="9" xfId="0" applyFont="1" applyFill="1" applyBorder="1" applyAlignment="1" applyProtection="1">
      <alignment horizontal="center"/>
      <protection hidden="1"/>
    </xf>
    <xf numFmtId="0" fontId="10" fillId="2" borderId="3" xfId="0" applyFont="1" applyFill="1" applyBorder="1" applyAlignment="1" applyProtection="1">
      <alignment horizontal="left"/>
      <protection locked="0"/>
    </xf>
    <xf numFmtId="0" fontId="6" fillId="2" borderId="13" xfId="0" applyFont="1" applyFill="1" applyBorder="1" applyAlignment="1" applyProtection="1">
      <alignment horizontal="right"/>
    </xf>
    <xf numFmtId="0" fontId="6" fillId="2" borderId="1" xfId="0" applyFont="1" applyFill="1" applyBorder="1" applyAlignment="1" applyProtection="1">
      <alignment horizontal="right"/>
    </xf>
    <xf numFmtId="0" fontId="10" fillId="2" borderId="11" xfId="0" applyFont="1" applyFill="1" applyBorder="1" applyProtection="1">
      <protection locked="0"/>
    </xf>
    <xf numFmtId="0" fontId="7" fillId="4" borderId="1" xfId="0" applyFont="1" applyFill="1" applyBorder="1" applyProtection="1">
      <protection locked="0"/>
    </xf>
    <xf numFmtId="0" fontId="10" fillId="2" borderId="15" xfId="0" applyFont="1" applyFill="1" applyBorder="1" applyProtection="1">
      <protection locked="0"/>
    </xf>
    <xf numFmtId="3" fontId="6" fillId="5" borderId="4" xfId="0" applyNumberFormat="1" applyFont="1" applyFill="1" applyBorder="1" applyProtection="1"/>
    <xf numFmtId="37" fontId="10" fillId="2" borderId="4" xfId="1" applyNumberFormat="1" applyFont="1" applyFill="1" applyBorder="1" applyProtection="1"/>
    <xf numFmtId="3" fontId="10" fillId="2" borderId="4" xfId="1" applyNumberFormat="1" applyFont="1" applyFill="1" applyBorder="1" applyProtection="1"/>
    <xf numFmtId="0" fontId="10" fillId="2" borderId="0" xfId="0" applyFont="1" applyFill="1" applyProtection="1"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0" fillId="2" borderId="6" xfId="0" applyFont="1" applyFill="1" applyBorder="1" applyProtection="1">
      <protection locked="0"/>
    </xf>
    <xf numFmtId="0" fontId="16" fillId="2" borderId="6" xfId="0" applyFont="1" applyFill="1" applyBorder="1" applyAlignment="1" applyProtection="1">
      <protection locked="0"/>
    </xf>
    <xf numFmtId="0" fontId="7" fillId="2" borderId="11" xfId="0" applyFont="1" applyFill="1" applyBorder="1" applyProtection="1">
      <protection locked="0"/>
    </xf>
    <xf numFmtId="0" fontId="7" fillId="2" borderId="13" xfId="0" applyFont="1" applyFill="1" applyBorder="1" applyProtection="1">
      <protection locked="0"/>
    </xf>
    <xf numFmtId="3" fontId="10" fillId="2" borderId="3" xfId="0" applyNumberFormat="1" applyFont="1" applyFill="1" applyBorder="1" applyProtection="1">
      <protection locked="0"/>
    </xf>
    <xf numFmtId="43" fontId="10" fillId="2" borderId="0" xfId="0" applyNumberFormat="1" applyFont="1" applyFill="1" applyProtection="1">
      <protection locked="0"/>
    </xf>
    <xf numFmtId="43" fontId="10" fillId="2" borderId="0" xfId="1" applyFont="1" applyFill="1" applyProtection="1">
      <protection locked="0"/>
    </xf>
    <xf numFmtId="37" fontId="10" fillId="2" borderId="0" xfId="0" applyNumberFormat="1" applyFont="1" applyFill="1" applyProtection="1">
      <protection locked="0"/>
    </xf>
    <xf numFmtId="3" fontId="10" fillId="2" borderId="0" xfId="0" applyNumberFormat="1" applyFont="1" applyFill="1" applyProtection="1">
      <protection locked="0"/>
    </xf>
    <xf numFmtId="0" fontId="6" fillId="2" borderId="0" xfId="0" applyFont="1" applyFill="1" applyBorder="1" applyProtection="1">
      <protection locked="0"/>
    </xf>
    <xf numFmtId="0" fontId="10" fillId="2" borderId="0" xfId="0" applyFont="1" applyFill="1" applyBorder="1" applyProtection="1">
      <protection locked="0"/>
    </xf>
    <xf numFmtId="167" fontId="6" fillId="2" borderId="0" xfId="4" applyNumberFormat="1" applyFont="1" applyFill="1" applyBorder="1" applyProtection="1">
      <protection locked="0"/>
    </xf>
    <xf numFmtId="164" fontId="10" fillId="2" borderId="0" xfId="1" applyNumberFormat="1" applyFont="1" applyFill="1" applyProtection="1">
      <protection locked="0"/>
    </xf>
    <xf numFmtId="0" fontId="30" fillId="2" borderId="4" xfId="0" applyFont="1" applyFill="1" applyBorder="1" applyAlignment="1">
      <alignment horizontal="left"/>
    </xf>
    <xf numFmtId="37" fontId="14" fillId="2" borderId="4" xfId="1" applyNumberFormat="1" applyFont="1" applyFill="1" applyBorder="1" applyProtection="1"/>
    <xf numFmtId="37" fontId="8" fillId="2" borderId="4" xfId="0" applyNumberFormat="1" applyFont="1" applyFill="1" applyBorder="1"/>
    <xf numFmtId="9" fontId="16" fillId="2" borderId="6" xfId="0" applyNumberFormat="1" applyFont="1" applyFill="1" applyBorder="1" applyAlignment="1" applyProtection="1">
      <protection locked="0"/>
    </xf>
    <xf numFmtId="0" fontId="10" fillId="2" borderId="9" xfId="0" applyFont="1" applyFill="1" applyBorder="1" applyAlignment="1" applyProtection="1">
      <alignment horizontal="center"/>
      <protection hidden="1"/>
    </xf>
    <xf numFmtId="0" fontId="28" fillId="2" borderId="1" xfId="0" applyFont="1" applyFill="1" applyBorder="1" applyAlignment="1">
      <alignment horizontal="right"/>
    </xf>
    <xf numFmtId="0" fontId="28" fillId="2" borderId="2" xfId="0" applyFont="1" applyFill="1" applyBorder="1" applyAlignment="1">
      <alignment horizontal="right"/>
    </xf>
    <xf numFmtId="38" fontId="10" fillId="9" borderId="0" xfId="1" applyNumberFormat="1" applyFont="1" applyFill="1" applyProtection="1">
      <protection locked="0"/>
    </xf>
    <xf numFmtId="164" fontId="10" fillId="9" borderId="0" xfId="1" applyNumberFormat="1" applyFont="1" applyFill="1" applyProtection="1">
      <protection locked="0"/>
    </xf>
    <xf numFmtId="0" fontId="7" fillId="4" borderId="2" xfId="0" applyFont="1" applyFill="1" applyBorder="1" applyAlignment="1">
      <alignment horizontal="left"/>
    </xf>
    <xf numFmtId="37" fontId="8" fillId="6" borderId="4" xfId="0" applyNumberFormat="1" applyFont="1" applyFill="1" applyBorder="1"/>
    <xf numFmtId="10" fontId="10" fillId="2" borderId="0" xfId="0" applyNumberFormat="1" applyFont="1" applyFill="1" applyProtection="1">
      <protection locked="0"/>
    </xf>
    <xf numFmtId="0" fontId="14" fillId="2" borderId="9" xfId="0" applyFont="1" applyFill="1" applyBorder="1" applyAlignment="1" applyProtection="1">
      <alignment horizontal="center"/>
      <protection hidden="1"/>
    </xf>
    <xf numFmtId="0" fontId="10" fillId="2" borderId="15" xfId="0" applyFont="1" applyFill="1" applyBorder="1" applyAlignment="1">
      <alignment horizontal="left"/>
    </xf>
    <xf numFmtId="0" fontId="6" fillId="9" borderId="0" xfId="0" applyFont="1" applyFill="1" applyProtection="1">
      <protection locked="0"/>
    </xf>
    <xf numFmtId="49" fontId="10" fillId="2" borderId="0" xfId="0" applyNumberFormat="1" applyFont="1" applyFill="1" applyProtection="1">
      <protection locked="0"/>
    </xf>
    <xf numFmtId="3" fontId="8" fillId="4" borderId="4" xfId="0" applyNumberFormat="1" applyFont="1" applyFill="1" applyBorder="1" applyAlignment="1">
      <alignment horizontal="right"/>
    </xf>
    <xf numFmtId="37" fontId="8" fillId="4" borderId="4" xfId="0" applyNumberFormat="1" applyFont="1" applyFill="1" applyBorder="1" applyAlignment="1">
      <alignment horizontal="right"/>
    </xf>
    <xf numFmtId="37" fontId="6" fillId="5" borderId="4" xfId="1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9" fontId="2" fillId="2" borderId="1" xfId="2" applyFont="1" applyFill="1" applyBorder="1" applyAlignment="1">
      <alignment horizontal="center"/>
    </xf>
    <xf numFmtId="9" fontId="2" fillId="2" borderId="3" xfId="2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3" fontId="2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right"/>
    </xf>
    <xf numFmtId="9" fontId="2" fillId="2" borderId="4" xfId="2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right"/>
    </xf>
    <xf numFmtId="165" fontId="2" fillId="2" borderId="3" xfId="1" applyNumberFormat="1" applyFont="1" applyFill="1" applyBorder="1" applyAlignment="1">
      <alignment horizontal="right"/>
    </xf>
    <xf numFmtId="164" fontId="2" fillId="2" borderId="1" xfId="1" applyNumberFormat="1" applyFont="1" applyFill="1" applyBorder="1" applyAlignment="1">
      <alignment horizontal="right"/>
    </xf>
    <xf numFmtId="164" fontId="2" fillId="2" borderId="3" xfId="1" applyNumberFormat="1" applyFont="1" applyFill="1" applyBorder="1" applyAlignment="1">
      <alignment horizontal="right"/>
    </xf>
    <xf numFmtId="164" fontId="2" fillId="2" borderId="1" xfId="1" applyNumberFormat="1" applyFont="1" applyFill="1" applyBorder="1" applyAlignment="1">
      <alignment horizontal="center"/>
    </xf>
    <xf numFmtId="164" fontId="2" fillId="2" borderId="3" xfId="1" applyNumberFormat="1" applyFont="1" applyFill="1" applyBorder="1" applyAlignment="1">
      <alignment horizontal="center"/>
    </xf>
    <xf numFmtId="43" fontId="2" fillId="2" borderId="1" xfId="1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14" fontId="2" fillId="2" borderId="2" xfId="0" applyNumberFormat="1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/>
    </xf>
    <xf numFmtId="0" fontId="10" fillId="2" borderId="1" xfId="0" applyFont="1" applyFill="1" applyBorder="1" applyAlignment="1" applyProtection="1">
      <alignment horizontal="center"/>
      <protection hidden="1"/>
    </xf>
    <xf numFmtId="0" fontId="10" fillId="2" borderId="3" xfId="0" applyFont="1" applyFill="1" applyBorder="1" applyAlignment="1" applyProtection="1">
      <alignment horizontal="center"/>
      <protection hidden="1"/>
    </xf>
    <xf numFmtId="164" fontId="10" fillId="2" borderId="2" xfId="1" applyNumberFormat="1" applyFont="1" applyFill="1" applyBorder="1" applyAlignment="1" applyProtection="1">
      <alignment horizontal="right"/>
      <protection locked="0"/>
    </xf>
    <xf numFmtId="164" fontId="10" fillId="2" borderId="3" xfId="1" applyNumberFormat="1" applyFont="1" applyFill="1" applyBorder="1" applyAlignment="1" applyProtection="1">
      <alignment horizontal="right"/>
      <protection locked="0"/>
    </xf>
    <xf numFmtId="164" fontId="10" fillId="2" borderId="2" xfId="0" applyNumberFormat="1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169" fontId="10" fillId="2" borderId="1" xfId="0" applyNumberFormat="1" applyFont="1" applyFill="1" applyBorder="1" applyAlignment="1" applyProtection="1">
      <alignment horizontal="center"/>
      <protection locked="0"/>
    </xf>
    <xf numFmtId="169" fontId="10" fillId="2" borderId="3" xfId="0" applyNumberFormat="1" applyFont="1" applyFill="1" applyBorder="1" applyAlignment="1" applyProtection="1">
      <alignment horizontal="center"/>
      <protection locked="0"/>
    </xf>
    <xf numFmtId="0" fontId="16" fillId="2" borderId="1" xfId="0" applyFont="1" applyFill="1" applyBorder="1" applyAlignment="1" applyProtection="1">
      <alignment horizontal="center"/>
      <protection locked="0"/>
    </xf>
    <xf numFmtId="0" fontId="16" fillId="2" borderId="3" xfId="0" applyFont="1" applyFill="1" applyBorder="1" applyAlignment="1" applyProtection="1">
      <alignment horizontal="center"/>
      <protection locked="0"/>
    </xf>
    <xf numFmtId="9" fontId="6" fillId="2" borderId="1" xfId="0" applyNumberFormat="1" applyFont="1" applyFill="1" applyBorder="1" applyAlignment="1" applyProtection="1">
      <alignment horizontal="right"/>
      <protection locked="0"/>
    </xf>
    <xf numFmtId="0" fontId="6" fillId="2" borderId="2" xfId="0" applyFont="1" applyFill="1" applyBorder="1" applyAlignment="1" applyProtection="1">
      <alignment horizontal="right"/>
      <protection locked="0"/>
    </xf>
    <xf numFmtId="0" fontId="6" fillId="2" borderId="1" xfId="0" applyFont="1" applyFill="1" applyBorder="1" applyAlignment="1" applyProtection="1">
      <alignment horizontal="right"/>
      <protection locked="0"/>
    </xf>
    <xf numFmtId="0" fontId="6" fillId="2" borderId="3" xfId="0" applyFont="1" applyFill="1" applyBorder="1" applyAlignment="1" applyProtection="1">
      <alignment horizontal="right"/>
      <protection locked="0"/>
    </xf>
    <xf numFmtId="0" fontId="16" fillId="2" borderId="13" xfId="0" applyFont="1" applyFill="1" applyBorder="1" applyAlignment="1" applyProtection="1">
      <alignment horizontal="right"/>
      <protection locked="0"/>
    </xf>
    <xf numFmtId="0" fontId="16" fillId="2" borderId="6" xfId="0" applyFont="1" applyFill="1" applyBorder="1" applyAlignment="1" applyProtection="1">
      <alignment horizontal="right"/>
      <protection locked="0"/>
    </xf>
    <xf numFmtId="0" fontId="16" fillId="2" borderId="10" xfId="0" applyFont="1" applyFill="1" applyBorder="1" applyAlignment="1" applyProtection="1">
      <alignment horizontal="right"/>
      <protection locked="0"/>
    </xf>
    <xf numFmtId="0" fontId="8" fillId="4" borderId="2" xfId="0" applyFont="1" applyFill="1" applyBorder="1" applyAlignment="1">
      <alignment horizontal="right"/>
    </xf>
    <xf numFmtId="0" fontId="8" fillId="4" borderId="3" xfId="0" applyFont="1" applyFill="1" applyBorder="1" applyAlignment="1">
      <alignment horizontal="right"/>
    </xf>
    <xf numFmtId="0" fontId="13" fillId="5" borderId="1" xfId="0" applyFont="1" applyFill="1" applyBorder="1" applyAlignment="1">
      <alignment horizontal="right"/>
    </xf>
    <xf numFmtId="0" fontId="13" fillId="5" borderId="2" xfId="0" applyFont="1" applyFill="1" applyBorder="1" applyAlignment="1">
      <alignment horizontal="right"/>
    </xf>
    <xf numFmtId="0" fontId="13" fillId="5" borderId="3" xfId="0" applyFont="1" applyFill="1" applyBorder="1" applyAlignment="1">
      <alignment horizontal="right"/>
    </xf>
    <xf numFmtId="0" fontId="13" fillId="6" borderId="1" xfId="0" applyFont="1" applyFill="1" applyBorder="1" applyAlignment="1">
      <alignment horizontal="right"/>
    </xf>
    <xf numFmtId="0" fontId="13" fillId="6" borderId="2" xfId="0" applyFont="1" applyFill="1" applyBorder="1" applyAlignment="1">
      <alignment horizontal="right"/>
    </xf>
    <xf numFmtId="0" fontId="13" fillId="6" borderId="3" xfId="0" applyFont="1" applyFill="1" applyBorder="1" applyAlignment="1">
      <alignment horizontal="right"/>
    </xf>
    <xf numFmtId="0" fontId="10" fillId="2" borderId="1" xfId="0" applyFont="1" applyFill="1" applyBorder="1" applyAlignment="1" applyProtection="1">
      <alignment horizontal="left"/>
      <protection locked="0"/>
    </xf>
    <xf numFmtId="0" fontId="10" fillId="2" borderId="3" xfId="0" applyFont="1" applyFill="1" applyBorder="1" applyAlignment="1" applyProtection="1">
      <alignment horizontal="left"/>
      <protection locked="0"/>
    </xf>
    <xf numFmtId="0" fontId="27" fillId="2" borderId="1" xfId="0" applyFont="1" applyFill="1" applyBorder="1" applyAlignment="1">
      <alignment horizontal="right"/>
    </xf>
    <xf numFmtId="0" fontId="27" fillId="2" borderId="2" xfId="0" applyFont="1" applyFill="1" applyBorder="1" applyAlignment="1">
      <alignment horizontal="right"/>
    </xf>
    <xf numFmtId="0" fontId="27" fillId="2" borderId="3" xfId="0" applyFont="1" applyFill="1" applyBorder="1" applyAlignment="1">
      <alignment horizontal="right"/>
    </xf>
    <xf numFmtId="0" fontId="10" fillId="2" borderId="2" xfId="0" applyFont="1" applyFill="1" applyBorder="1" applyAlignment="1" applyProtection="1">
      <alignment horizontal="left"/>
      <protection locked="0"/>
    </xf>
    <xf numFmtId="0" fontId="10" fillId="2" borderId="9" xfId="0" applyFont="1" applyFill="1" applyBorder="1" applyAlignment="1" applyProtection="1">
      <alignment horizontal="center"/>
      <protection hidden="1"/>
    </xf>
    <xf numFmtId="0" fontId="10" fillId="2" borderId="7" xfId="0" applyFont="1" applyFill="1" applyBorder="1" applyAlignment="1" applyProtection="1">
      <alignment horizontal="center"/>
      <protection hidden="1"/>
    </xf>
    <xf numFmtId="14" fontId="24" fillId="2" borderId="18" xfId="0" applyNumberFormat="1" applyFont="1" applyFill="1" applyBorder="1" applyAlignment="1" applyProtection="1">
      <alignment horizontal="left"/>
      <protection locked="0"/>
    </xf>
    <xf numFmtId="14" fontId="24" fillId="2" borderId="17" xfId="0" applyNumberFormat="1" applyFont="1" applyFill="1" applyBorder="1" applyAlignment="1" applyProtection="1">
      <alignment horizontal="left"/>
      <protection locked="0"/>
    </xf>
    <xf numFmtId="0" fontId="10" fillId="2" borderId="13" xfId="0" applyFont="1" applyFill="1" applyBorder="1" applyAlignment="1" applyProtection="1">
      <alignment horizontal="left"/>
      <protection locked="0"/>
    </xf>
    <xf numFmtId="0" fontId="10" fillId="2" borderId="6" xfId="0" applyFont="1" applyFill="1" applyBorder="1" applyAlignment="1" applyProtection="1">
      <alignment horizontal="left"/>
      <protection locked="0"/>
    </xf>
    <xf numFmtId="0" fontId="10" fillId="2" borderId="10" xfId="0" applyFont="1" applyFill="1" applyBorder="1" applyAlignment="1" applyProtection="1">
      <alignment horizontal="left"/>
      <protection locked="0"/>
    </xf>
    <xf numFmtId="0" fontId="7" fillId="4" borderId="9" xfId="0" applyFont="1" applyFill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7" fillId="4" borderId="13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10" xfId="0" applyFont="1" applyFill="1" applyBorder="1" applyAlignment="1">
      <alignment horizontal="left" vertical="center"/>
    </xf>
    <xf numFmtId="0" fontId="10" fillId="2" borderId="1" xfId="0" applyFont="1" applyFill="1" applyBorder="1" applyAlignment="1" applyProtection="1">
      <protection locked="0"/>
    </xf>
    <xf numFmtId="0" fontId="10" fillId="2" borderId="2" xfId="0" applyFont="1" applyFill="1" applyBorder="1" applyAlignment="1" applyProtection="1">
      <protection locked="0"/>
    </xf>
    <xf numFmtId="0" fontId="10" fillId="2" borderId="3" xfId="0" applyFont="1" applyFill="1" applyBorder="1" applyAlignment="1" applyProtection="1">
      <protection locked="0"/>
    </xf>
    <xf numFmtId="0" fontId="29" fillId="2" borderId="14" xfId="0" applyFont="1" applyFill="1" applyBorder="1" applyAlignment="1" applyProtection="1">
      <alignment horizontal="center" vertical="center"/>
      <protection locked="0"/>
    </xf>
    <xf numFmtId="0" fontId="29" fillId="2" borderId="5" xfId="0" applyFont="1" applyFill="1" applyBorder="1" applyAlignment="1" applyProtection="1">
      <alignment horizontal="center" vertical="center"/>
      <protection locked="0"/>
    </xf>
    <xf numFmtId="0" fontId="7" fillId="4" borderId="9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21" fillId="3" borderId="8" xfId="0" applyFont="1" applyFill="1" applyBorder="1" applyAlignment="1">
      <alignment horizontal="center" wrapText="1"/>
    </xf>
    <xf numFmtId="0" fontId="21" fillId="3" borderId="5" xfId="0" applyFont="1" applyFill="1" applyBorder="1" applyAlignment="1">
      <alignment horizontal="center" wrapText="1"/>
    </xf>
    <xf numFmtId="0" fontId="25" fillId="3" borderId="1" xfId="0" applyFont="1" applyFill="1" applyBorder="1" applyAlignment="1" applyProtection="1">
      <alignment horizontal="left"/>
      <protection locked="0"/>
    </xf>
    <xf numFmtId="0" fontId="25" fillId="3" borderId="3" xfId="0" applyFont="1" applyFill="1" applyBorder="1" applyAlignment="1" applyProtection="1">
      <alignment horizontal="left"/>
      <protection locked="0"/>
    </xf>
    <xf numFmtId="0" fontId="13" fillId="3" borderId="1" xfId="0" applyFont="1" applyFill="1" applyBorder="1" applyAlignment="1" applyProtection="1">
      <alignment horizontal="center"/>
      <protection locked="0"/>
    </xf>
    <xf numFmtId="0" fontId="13" fillId="3" borderId="2" xfId="0" applyFont="1" applyFill="1" applyBorder="1" applyAlignment="1" applyProtection="1">
      <alignment horizontal="center"/>
      <protection locked="0"/>
    </xf>
    <xf numFmtId="0" fontId="13" fillId="3" borderId="3" xfId="0" applyFont="1" applyFill="1" applyBorder="1" applyAlignment="1" applyProtection="1">
      <alignment horizontal="center"/>
      <protection locked="0"/>
    </xf>
    <xf numFmtId="0" fontId="13" fillId="4" borderId="1" xfId="0" applyFont="1" applyFill="1" applyBorder="1" applyAlignment="1">
      <alignment horizontal="left"/>
    </xf>
    <xf numFmtId="0" fontId="13" fillId="4" borderId="2" xfId="0" applyFont="1" applyFill="1" applyBorder="1" applyAlignment="1">
      <alignment horizontal="left"/>
    </xf>
    <xf numFmtId="0" fontId="8" fillId="3" borderId="1" xfId="0" applyFont="1" applyFill="1" applyBorder="1" applyAlignment="1" applyProtection="1">
      <alignment horizontal="center"/>
      <protection locked="0"/>
    </xf>
    <xf numFmtId="0" fontId="8" fillId="3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10" fillId="2" borderId="2" xfId="0" applyFont="1" applyFill="1" applyBorder="1" applyAlignment="1" applyProtection="1">
      <alignment horizontal="center"/>
      <protection locked="0"/>
    </xf>
    <xf numFmtId="0" fontId="10" fillId="2" borderId="3" xfId="0" applyFont="1" applyFill="1" applyBorder="1" applyAlignment="1" applyProtection="1">
      <alignment horizontal="center"/>
      <protection locked="0"/>
    </xf>
    <xf numFmtId="0" fontId="13" fillId="5" borderId="1" xfId="0" applyFont="1" applyFill="1" applyBorder="1" applyAlignment="1">
      <alignment horizontal="left"/>
    </xf>
    <xf numFmtId="0" fontId="13" fillId="5" borderId="2" xfId="0" applyFont="1" applyFill="1" applyBorder="1" applyAlignment="1">
      <alignment horizontal="left"/>
    </xf>
    <xf numFmtId="0" fontId="14" fillId="4" borderId="1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14" fillId="2" borderId="9" xfId="0" applyFont="1" applyFill="1" applyBorder="1" applyAlignment="1" applyProtection="1">
      <alignment horizontal="center"/>
      <protection hidden="1"/>
    </xf>
    <xf numFmtId="0" fontId="14" fillId="2" borderId="7" xfId="0" applyFont="1" applyFill="1" applyBorder="1" applyAlignment="1" applyProtection="1">
      <alignment horizontal="center"/>
      <protection hidden="1"/>
    </xf>
    <xf numFmtId="0" fontId="6" fillId="4" borderId="2" xfId="0" applyFont="1" applyFill="1" applyBorder="1" applyAlignment="1">
      <alignment horizontal="right"/>
    </xf>
    <xf numFmtId="0" fontId="6" fillId="5" borderId="1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6" fillId="5" borderId="3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/>
    </xf>
    <xf numFmtId="0" fontId="12" fillId="4" borderId="1" xfId="0" applyFont="1" applyFill="1" applyBorder="1" applyAlignment="1" applyProtection="1">
      <alignment horizontal="left"/>
      <protection locked="0"/>
    </xf>
    <xf numFmtId="0" fontId="12" fillId="4" borderId="2" xfId="0" applyFont="1" applyFill="1" applyBorder="1" applyAlignment="1" applyProtection="1">
      <alignment horizontal="left"/>
      <protection locked="0"/>
    </xf>
    <xf numFmtId="0" fontId="12" fillId="4" borderId="3" xfId="0" applyFont="1" applyFill="1" applyBorder="1" applyAlignment="1" applyProtection="1">
      <alignment horizontal="left"/>
      <protection locked="0"/>
    </xf>
    <xf numFmtId="0" fontId="24" fillId="2" borderId="1" xfId="0" applyFont="1" applyFill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center"/>
    </xf>
    <xf numFmtId="0" fontId="6" fillId="3" borderId="4" xfId="0" quotePrefix="1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</cellXfs>
  <cellStyles count="19">
    <cellStyle name="Comma" xfId="1" builtinId="3"/>
    <cellStyle name="Comma 10" xfId="3"/>
    <cellStyle name="Comma 11" xfId="17"/>
    <cellStyle name="Comma 12" xfId="18"/>
    <cellStyle name="Comma 2" xfId="10"/>
    <cellStyle name="Comma 3" xfId="11"/>
    <cellStyle name="Comma 4" xfId="12"/>
    <cellStyle name="Comma 5" xfId="13"/>
    <cellStyle name="Comma 6" xfId="14"/>
    <cellStyle name="Comma 7" xfId="15"/>
    <cellStyle name="Comma 8" xfId="16"/>
    <cellStyle name="Comma 9" xfId="8"/>
    <cellStyle name="Currency" xfId="4" builtinId="4"/>
    <cellStyle name="Normal" xfId="0" builtinId="0"/>
    <cellStyle name="Normal 2" xfId="9"/>
    <cellStyle name="Normal 3" xfId="7"/>
    <cellStyle name="Normal 4" xfId="5"/>
    <cellStyle name="Percent" xfId="2" builtinId="5"/>
    <cellStyle name="Percent 2" xfId="6"/>
  </cellStyles>
  <dxfs count="16">
    <dxf>
      <font>
        <color theme="5" tint="-0.24994659260841701"/>
      </font>
      <fill>
        <patternFill>
          <bgColor theme="0" tint="-0.14996795556505021"/>
        </patternFill>
      </fill>
      <border>
        <right style="thin">
          <color auto="1"/>
        </right>
      </border>
    </dxf>
    <dxf>
      <font>
        <color theme="0"/>
      </font>
    </dxf>
    <dxf>
      <font>
        <color theme="0"/>
      </font>
    </dxf>
    <dxf>
      <font>
        <color theme="0"/>
      </font>
      <border>
        <left/>
        <bottom/>
        <vertical/>
        <horizontal/>
      </border>
    </dxf>
    <dxf>
      <font>
        <color theme="0"/>
      </font>
      <border>
        <left/>
        <right style="thin">
          <color auto="1"/>
        </right>
        <top/>
        <bottom style="thin">
          <color auto="1"/>
        </bottom>
        <vertical/>
        <horizontal/>
      </border>
    </dxf>
    <dxf>
      <font>
        <color theme="0"/>
      </font>
      <border>
        <left/>
        <right/>
        <top/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bgColor theme="0"/>
        </patternFill>
      </fill>
      <border>
        <left/>
        <right/>
        <top style="thin">
          <color auto="1"/>
        </top>
        <bottom style="thin">
          <color auto="1"/>
        </bottom>
      </border>
    </dxf>
    <dxf>
      <font>
        <color theme="0"/>
      </font>
    </dxf>
    <dxf>
      <font>
        <color theme="0"/>
      </font>
      <fill>
        <patternFill patternType="solid">
          <bgColor theme="0"/>
        </patternFill>
      </fill>
      <border>
        <left/>
        <right/>
        <top style="thin">
          <color auto="1"/>
        </top>
        <bottom style="thin">
          <color auto="1"/>
        </bottom>
      </border>
    </dxf>
    <dxf>
      <font>
        <color theme="0"/>
      </font>
    </dxf>
    <dxf>
      <font>
        <color auto="1"/>
      </font>
    </dxf>
    <dxf>
      <font>
        <color theme="0"/>
      </font>
    </dxf>
  </dxfs>
  <tableStyles count="0" defaultTableStyle="TableStyleMedium2" defaultPivotStyle="PivotStyleLight16"/>
  <colors>
    <mruColors>
      <color rgb="FFF2F7FC"/>
      <color rgb="FFE7F1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3"/>
  <sheetViews>
    <sheetView workbookViewId="0">
      <selection activeCell="J329" sqref="J329:K329"/>
    </sheetView>
  </sheetViews>
  <sheetFormatPr defaultColWidth="8.85546875" defaultRowHeight="14.25" x14ac:dyDescent="0.2"/>
  <cols>
    <col min="1" max="1" width="35.140625" style="1" bestFit="1" customWidth="1"/>
    <col min="2" max="2" width="13.5703125" style="1" bestFit="1" customWidth="1"/>
    <col min="3" max="5" width="11.85546875" style="1" bestFit="1" customWidth="1"/>
    <col min="6" max="6" width="11.7109375" style="1" customWidth="1"/>
    <col min="7" max="7" width="11.85546875" style="1" bestFit="1" customWidth="1"/>
    <col min="8" max="8" width="12.42578125" style="1" bestFit="1" customWidth="1"/>
    <col min="9" max="13" width="11.28515625" style="1" bestFit="1" customWidth="1"/>
    <col min="14" max="14" width="11.28515625" style="1" customWidth="1"/>
    <col min="15" max="15" width="12.5703125" style="1" customWidth="1"/>
    <col min="16" max="16384" width="8.85546875" style="1"/>
  </cols>
  <sheetData>
    <row r="1" spans="1:15" x14ac:dyDescent="0.2">
      <c r="A1" s="2" t="s">
        <v>0</v>
      </c>
      <c r="B1" s="10" t="s">
        <v>24</v>
      </c>
      <c r="C1" s="119">
        <f>IF(Request!N2="0 Months",0,IF(Request!N2="1 month",1,IF(Request!N2="2 months",2,IF(Request!N2="3 months",3,IF(Request!N2="4 months",4,IF(Request!N2="5 months",5,IF(Request!N2="6 months",6,IF(Request!N2="7 months",7,IF(Request!N2="8 months",8,IF(Request!N2="9 months",9,IF(Request!N2="10 months",10,IF(Request!N2="11 months",11,IF(Request!N2="12 months",12,0)))))))))))))</f>
        <v>12</v>
      </c>
      <c r="D1" s="10"/>
      <c r="E1" s="10"/>
      <c r="F1" s="10"/>
      <c r="G1" s="10"/>
      <c r="I1" s="22"/>
      <c r="J1" s="23"/>
      <c r="K1" s="23"/>
      <c r="L1" s="23"/>
      <c r="M1" s="23"/>
      <c r="N1" s="23"/>
      <c r="O1" s="23"/>
    </row>
    <row r="2" spans="1:15" x14ac:dyDescent="0.2">
      <c r="A2" s="6" t="s">
        <v>1</v>
      </c>
      <c r="B2" s="5">
        <f>Request!C1</f>
        <v>43282</v>
      </c>
      <c r="C2" s="5">
        <f>B2</f>
        <v>43282</v>
      </c>
      <c r="D2" s="5" t="str">
        <f>IF(C3&lt;B3,DATE(YEAR(C3),MONTH(C3),DAY(C3)+1),"")</f>
        <v/>
      </c>
      <c r="E2" s="5" t="str">
        <f>IF($D$3&lt;$B$3,DATE(YEAR(D3),MONTH(D3),DAY(D3)+1),"")</f>
        <v/>
      </c>
      <c r="F2" s="5" t="str">
        <f>IF(AND($D$3&lt;$B$3,$E3&lt;$B$3),DATE(YEAR(E3),MONTH(E3),DAY(E3)+1),"")</f>
        <v/>
      </c>
      <c r="G2" s="5" t="str">
        <f>IF(AND($D$3&lt;$B$3,$E3&lt;$B$3,F3&lt;B3),DATE(YEAR(F3),MONTH(F3),DAY(F3)+1),"")</f>
        <v/>
      </c>
      <c r="I2" s="22"/>
      <c r="J2" s="23"/>
      <c r="K2" s="24"/>
      <c r="L2" s="23"/>
      <c r="M2" s="23"/>
      <c r="N2" s="23"/>
      <c r="O2" s="23"/>
    </row>
    <row r="3" spans="1:15" x14ac:dyDescent="0.2">
      <c r="A3" s="6" t="s">
        <v>2</v>
      </c>
      <c r="B3" s="5">
        <f>Request!C2</f>
        <v>43646</v>
      </c>
      <c r="C3" s="5">
        <f>IF(B5&lt;C1,B3,(DATE(YEAR(C2),MONTH(C2)+C1,DAY(C2)-1)))</f>
        <v>43646</v>
      </c>
      <c r="D3" s="5" t="str">
        <f>IF(C3=B3,"",IF((DATE(YEAR(D2)+1,MONTH(D2),DAY(D2)-1))&gt;$B$3,$B$3,(DATE(YEAR(D2)+1,MONTH(D2),DAY(D2)-1))))</f>
        <v/>
      </c>
      <c r="E3" s="5" t="str">
        <f>IF(C3=B3,"",IF(D3=B3,"",IF((DATE(YEAR(E2)+1,MONTH(E2),DAY(E2)-1))&gt;$B$3,$B$3,(DATE(YEAR(E2)+1,MONTH(E2),DAY(E2)-1)))))</f>
        <v/>
      </c>
      <c r="F3" s="5" t="str">
        <f>IF($B$3=$C$3,"",IF($D$3=$B$3,"",IF($E$3=$B$3,"",IF((DATE(YEAR(F2)+1,MONTH(F2),DAY(F2)-1))&gt;$B$3,$B$3,(DATE(YEAR(F2)+1,MONTH(F2),DAY(F2)-1))))))</f>
        <v/>
      </c>
      <c r="G3" s="5" t="str">
        <f>IF($B$3=$C$3,"",IF($D$3=$B$3,"",IF($E$3=$B$3,"",IF($F3=B3,"",IF((DATE(YEAR(G2)+1,MONTH(G2),DAY(G2)-1))&gt;$B$3,$B$3,(DATE(YEAR(G2)+1,MONTH(G2),DAY(G2)-1)))))))</f>
        <v/>
      </c>
      <c r="H3" s="18"/>
      <c r="I3" s="22"/>
      <c r="J3" s="23"/>
      <c r="K3" s="23"/>
      <c r="L3" s="23"/>
      <c r="M3" s="23"/>
      <c r="N3" s="23"/>
      <c r="O3" s="23"/>
    </row>
    <row r="4" spans="1:15" x14ac:dyDescent="0.2">
      <c r="A4" s="6" t="s">
        <v>22</v>
      </c>
      <c r="B4" s="6" t="str">
        <f>IF(AND(B2&gt;DATEVALUE("6/30/2014"),B2&lt;DATEVALUE("7/1/2015")),"14/15",IF(AND(B2&gt;DATEVALUE("6/30/2015"),B2&lt;DATEVALUE("7/1/2016")),"15/16",IF(AND(B2&gt;DATEVALUE("6/30/2016"),B2&lt;DATEVALUE("7/1/2017")),"16/17",IF(AND(B2&gt;DATEVALUE("6/30/2017"),B2&lt;DATEVALUE("7/1/2018")),"17/18",IF(AND(B2&gt;DATEVALUE("6/30/2018"),B2&lt;DATEVALUE("7/1/2019")),"18/19",IF(AND(B2&gt;DATEVALUE("6/30/2019"),B2&lt;DATEVALUE("7/1/2020")),"19/20",IF(AND(B2&gt;DATEVALUE("6/30/2020"),B2&lt;DATEVALUE("7/1/2021")),"20/21",IF(AND(B2&gt;DATEVALUE("6/30/2021"),B2&lt;DATEVALUE("7/1/2022")),"21/22",IF(AND(B2&gt;DATEVALUE("6/30/2022"),B2&lt;DATEVALUE("7/1/2023")),"22/23",IF(AND(B2&gt;DATEVALUE("6/30/2023"),B2&lt;DATEVALUE("7/1/2024")),"23/24",IF(AND(B2&gt;DATEVALUE("6/30/2024"),B2&lt;DATEVALUE("7/1/2025")),"24/25")))))))))))</f>
        <v>18/19</v>
      </c>
      <c r="C4" s="6" t="str">
        <f>IF(AND(C2&gt;DATEVALUE("6/30/2014"),C2&lt;DATEVALUE("7/1/2015")),"14/15",IF(AND(C2&gt;DATEVALUE("6/30/2015"),C2&lt;DATEVALUE("7/1/2016")),"15/16",IF(AND(C2&gt;DATEVALUE("6/30/2016"),C2&lt;DATEVALUE("7/1/2017")),"16/17",IF(AND(C2&gt;DATEVALUE("6/30/2017"),C2&lt;DATEVALUE("7/1/2018")),"17/18",IF(AND(C2&gt;DATEVALUE("6/30/2018"),C2&lt;DATEVALUE("7/1/2019")),"18/19",IF(AND(C2&gt;DATEVALUE("6/30/2019"),C2&lt;DATEVALUE("7/1/2020")),"19/20",IF(AND(C2&gt;DATEVALUE("6/30/2020"),C2&lt;DATEVALUE("7/1/2021")),"20/21",IF(AND(C2&gt;DATEVALUE("6/30/2021"),C2&lt;DATEVALUE("7/1/2022")),"21/22",IF(AND(C2&gt;DATEVALUE("6/30/2022"),C2&lt;DATEVALUE("7/1/2023")),"22/23",IF(AND(C2&gt;DATEVALUE("6/30/2023"),C2&lt;DATEVALUE("7/1/2024")),"23/24",IF(AND(C2&gt;DATEVALUE("6/30/2024"),C2&lt;DATEVALUE("7/1/2025")),"24/25")))))))))))</f>
        <v>18/19</v>
      </c>
      <c r="D4" s="6" t="str">
        <f>IF($C$3&lt;$B$3,(IF(AND(D2&gt;DATEVALUE("6/30/2014"),D2&lt;DATEVALUE("7/1/2015")),"14/15",IF(AND(D2&gt;DATEVALUE("6/30/2015"),D2&lt;DATEVALUE("7/1/2016")),"15/16",IF(AND(D2&gt;DATEVALUE("6/30/2016"),D2&lt;DATEVALUE("7/1/2017")),"16/17",IF(AND(D2&gt;DATEVALUE("6/30/2017"),D2&lt;DATEVALUE("7/1/2018")),"17/18",IF(AND(D2&gt;DATEVALUE("6/30/2018"),D2&lt;DATEVALUE("7/1/2019")),"18/19",IF(AND(D2&gt;DATEVALUE("6/30/2019"),D2&lt;DATEVALUE("7/1/2020")),"19/20",IF(AND(D2&gt;DATEVALUE("6/30/2020"),D2&lt;DATEVALUE("7/1/2021")),"20/21",IF(AND(D2&gt;DATEVALUE("6/30/2021"),D2&lt;DATEVALUE("7/1/2022")),"21/22",IF(AND(D2&gt;DATEVALUE("6/30/2022"),D2&lt;DATEVALUE("7/1/2023")),"22/23",IF(AND(D2&gt;DATEVALUE("6/30/2023"),D2&lt;DATEVALUE("7/1/2024")),"23/24",IF(AND(D2&gt;DATEVALUE("6/30/2024"),D2&lt;DATEVALUE("7/1/2025")),"24/25")))))))))))),"")</f>
        <v/>
      </c>
      <c r="E4" s="6" t="str">
        <f>IF(AND($D$3&lt;$B$3,$C$3&lt;$B$3),(IF(AND(E2&gt;DATEVALUE("6/30/2014"),E2&lt;DATEVALUE("7/1/2015")),"14/15",IF(AND(E2&gt;DATEVALUE("6/30/2015"),E2&lt;DATEVALUE("7/1/2016")),"15/16",IF(AND(E2&gt;DATEVALUE("6/30/2016"),E2&lt;DATEVALUE("7/1/2017")),"16/17",IF(AND(E2&gt;DATEVALUE("6/30/2017"),E2&lt;DATEVALUE("7/1/2018")),"17/18",IF(AND(E2&gt;DATEVALUE("6/30/2018"),E2&lt;DATEVALUE("7/1/2019")),"18/19",IF(AND(E2&gt;DATEVALUE("6/30/2019"),E2&lt;DATEVALUE("7/1/2020")),"19/20",IF(AND(E2&gt;DATEVALUE("6/30/2020"),E2&lt;DATEVALUE("7/1/2021")),"20/21",IF(AND(E2&gt;DATEVALUE("6/30/2021"),E2&lt;DATEVALUE("7/1/2022")),"21/22",IF(AND(E2&gt;DATEVALUE("6/30/2022"),E2&lt;DATEVALUE("7/1/2023")),"22/23",IF(AND(E2&gt;DATEVALUE("6/30/2023"),E2&lt;DATEVALUE("7/1/2024")),"23/24",IF(AND(E2&gt;DATEVALUE("6/30/2024"),E2&lt;DATEVALUE("7/1/2025")),"24/25")))))))))))),"")</f>
        <v/>
      </c>
      <c r="F4" s="6" t="str">
        <f>IF(AND($D$3&lt;$B$3,$C$3&lt;$B$3,E3&lt;B3),(IF(AND(F2&gt;DATEVALUE("6/30/2014"),F2&lt;DATEVALUE("7/1/2015")),"14/15",IF(AND(F2&gt;DATEVALUE("6/30/2015"),F2&lt;DATEVALUE("7/1/2016")),"15/16",IF(AND(F2&gt;DATEVALUE("6/30/2016"),F2&lt;DATEVALUE("7/1/2017")),"16/17",IF(AND(F2&gt;DATEVALUE("6/30/2017"),F2&lt;DATEVALUE("7/1/2018")),"17/18",IF(AND(F2&gt;DATEVALUE("6/30/2018"),F2&lt;DATEVALUE("7/1/2019")),"18/19",IF(AND(F2&gt;DATEVALUE("6/30/2019"),F2&lt;DATEVALUE("7/1/2020")),"19/20",IF(AND(F2&gt;DATEVALUE("6/30/2020"),F2&lt;DATEVALUE("7/1/2021")),"20/21",IF(AND(F2&gt;DATEVALUE("6/30/2021"),F2&lt;DATEVALUE("7/1/2022")),"21/22",IF(AND(F2&gt;DATEVALUE("6/30/2022"),F2&lt;DATEVALUE("7/1/2023")),"22/23",IF(AND(F2&gt;DATEVALUE("6/30/2023"),F2&lt;DATEVALUE("7/1/2024")),"23/24",IF(AND(F2&gt;DATEVALUE("6/30/2024"),F2&lt;DATEVALUE("7/1/2025")),"24/25")))))))))))),"")</f>
        <v/>
      </c>
      <c r="G4" s="6" t="str">
        <f>IF(AND($D$3&lt;$B$3,$C$3&lt;$B$3,F3&lt;B3,E3&lt;B3),(IF(AND(G2&gt;DATEVALUE("6/30/2014"),G2&lt;DATEVALUE("7/1/2015")),"14/15",IF(AND(G2&gt;DATEVALUE("6/30/2015"),G2&lt;DATEVALUE("7/1/2016")),"15/16",IF(AND(G2&gt;DATEVALUE("6/30/2016"),G2&lt;DATEVALUE("7/1/2017")),"16/17",IF(AND(G2&gt;DATEVALUE("6/30/2017"),G2&lt;DATEVALUE("7/1/2018")),"17/18",IF(AND(G2&gt;DATEVALUE("6/30/2018"),G2&lt;DATEVALUE("7/1/2019")),"18/19",IF(AND(G2&gt;DATEVALUE("6/30/2019"),G2&lt;DATEVALUE("7/1/2020")),"19/20",IF(AND(G2&gt;DATEVALUE("6/30/2020"),G2&lt;DATEVALUE("7/1/2021")),"20/21",IF(AND(G2&gt;DATEVALUE("6/30/2021"),G2&lt;DATEVALUE("7/1/2022")),"21/22",IF(AND(G2&gt;DATEVALUE("6/30/2022"),G2&lt;DATEVALUE("7/1/2023")),"22/23",IF(AND(G2&gt;DATEVALUE("6/30/2023"),G2&lt;DATEVALUE("7/1/2024")),"23/24",IF(AND(G2&gt;DATEVALUE("6/30/2024"),G2&lt;DATEVALUE("7/1/2025")),"24/25")))))))))))),"")</f>
        <v/>
      </c>
      <c r="H4" s="84"/>
      <c r="I4" s="22"/>
      <c r="J4" s="23"/>
      <c r="K4" s="23"/>
      <c r="L4" s="23"/>
      <c r="M4" s="23"/>
      <c r="N4" s="23"/>
      <c r="O4" s="23"/>
    </row>
    <row r="5" spans="1:15" x14ac:dyDescent="0.2">
      <c r="A5" s="6" t="s">
        <v>25</v>
      </c>
      <c r="B5" s="7">
        <f>ROUND(YEARFRAC(B2,(DATE(YEAR(B3),MONTH(B3),DAY(B3)+1)),0)*12,1)</f>
        <v>12</v>
      </c>
      <c r="C5" s="15">
        <f>IF(C4="","",ROUND(YEARFRAC(C2,(DATE(YEAR(C3),MONTH(C3),DAY(C3)+1)),0)*12,1))</f>
        <v>12</v>
      </c>
      <c r="D5" s="16">
        <f>IF(D4="",0,ROUND(YEARFRAC(D2,(DATE(YEAR(D3),MONTH(D3),DAY(D3)+1)),0)*12,1))</f>
        <v>0</v>
      </c>
      <c r="E5" s="16">
        <f>IF(E4="",0,ROUND(YEARFRAC(E2,(DATE(YEAR(E3),MONTH(E3),DAY(E3)+1)),0)*12,1))</f>
        <v>0</v>
      </c>
      <c r="F5" s="16">
        <f>IF(F4="",0,ROUND(YEARFRAC(F2,(DATE(YEAR(F3),MONTH(F3),DAY(F3)+1)),0)*12,1))</f>
        <v>0</v>
      </c>
      <c r="G5" s="16">
        <f>IF(G4="",0,ROUND(YEARFRAC(G2,(DATE(YEAR(G3),MONTH(G3),DAY(G3)+1)),0)*12,1))</f>
        <v>0</v>
      </c>
      <c r="I5" s="22"/>
      <c r="J5" s="23"/>
      <c r="K5" s="23"/>
      <c r="L5" s="23"/>
      <c r="M5" s="23"/>
      <c r="N5" s="23"/>
      <c r="O5" s="23"/>
    </row>
    <row r="6" spans="1:15" x14ac:dyDescent="0.2">
      <c r="A6" s="6" t="s">
        <v>26</v>
      </c>
      <c r="B6" s="7"/>
      <c r="C6" s="15">
        <f>IF(C4="",0,(IF(MONTH(C2)=2,(IF(C4="",0,IF(OR(C4="15/16",C4="19/20"),ROUND(YEARFRAC(C2,(DATE(YEAR(C8),MONTH(C8),DAY(C8))),1)*12,1),ROUND(YEARFRAC(C2,(DATE(YEAR(C8),MONTH(C8),DAY(C8)+1)),1)*12,1)))),(ROUND(YEARFRAC(C2,(DATE(YEAR(C8),MONTH(C8),DAY(C8))),1)*12,1)))))</f>
        <v>12</v>
      </c>
      <c r="D6" s="15">
        <f t="shared" ref="D6:G6" si="0">IF(D4="",0,(IF(MONTH(D2)=2,(IF(D4="",0,IF(OR(D4="15/16",D4="19/20"),ROUND(YEARFRAC(D2,(DATE(YEAR(D8),MONTH(D8),DAY(D8))),1)*12,1),ROUND(YEARFRAC(D2,(DATE(YEAR(D8),MONTH(D8),DAY(D8)+1)),1)*12,1)))),(ROUND(YEARFRAC(D2,(DATE(YEAR(D8),MONTH(D8),DAY(D8))),1)*12,1)))))</f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2"/>
      <c r="I6" s="22"/>
      <c r="J6" s="23"/>
      <c r="K6" s="23"/>
      <c r="L6" s="23"/>
      <c r="M6" s="23"/>
      <c r="N6" s="23"/>
      <c r="O6" s="23"/>
    </row>
    <row r="7" spans="1:15" x14ac:dyDescent="0.2">
      <c r="A7" s="6" t="s">
        <v>27</v>
      </c>
      <c r="B7" s="8"/>
      <c r="C7" s="8">
        <f>IF(ROUND(C5-C6,2)&lt;0,0,ROUND(C5-C6,2))</f>
        <v>0</v>
      </c>
      <c r="D7" s="8">
        <f>IF(ROUND(D5-D6,2)&lt;0,0,ROUND(D5-D6,2))</f>
        <v>0</v>
      </c>
      <c r="E7" s="8">
        <f>IF(ROUND(E5-E6,2)&lt;0,0,ROUND(E5-E6,2))</f>
        <v>0</v>
      </c>
      <c r="F7" s="8">
        <f>IF(ROUND(F5-F6,2)&lt;0,0,ROUND(F5-F6,2))</f>
        <v>0</v>
      </c>
      <c r="G7" s="8">
        <f>IF(ROUND(G5-G6,2)&lt;0,0,ROUND(G5-G6,2))</f>
        <v>0</v>
      </c>
      <c r="H7" s="84"/>
      <c r="I7" s="22"/>
      <c r="J7" s="23"/>
      <c r="K7" s="23"/>
      <c r="L7" s="23"/>
      <c r="M7" s="23"/>
      <c r="N7" s="23"/>
      <c r="O7" s="23"/>
    </row>
    <row r="8" spans="1:15" x14ac:dyDescent="0.2">
      <c r="A8" s="6" t="s">
        <v>47</v>
      </c>
      <c r="B8" s="5"/>
      <c r="C8" s="5" t="str">
        <f>IF(C4="14/15",("7/01/2015"),IF(C4="15/16",("7/01/2016"),IF(C4="16/17",("7/01/2017"),IF(C4="17/18",("7/01/2018"),IF(C4="18/19",("7/01/2019"),IF(C4="19/20",("7/01/2020"),IF(C4="20/21",("7/01/2021"),IF(C4="21/22",("7/01/2022"),IF(C4="22/23",("7/01/2023"))))))))))</f>
        <v>7/01/2019</v>
      </c>
      <c r="D8" s="5" t="str">
        <f>IF(D4="","",IF(D4="14/15",("7/01/2015"),IF(D4="15/16",("7/01/2016"),IF(D4="16/17",("7/01/2017"),IF(D4="17/18",("7/01/2018"),IF(D4="18/19",("7/01/2019"),IF(D4="19/20",("7/01/2020"),IF(D4="20/21",("7/01/2021"),IF(D4="21/22",("7/01/2022"),IF(D4="22/23",("7/01/2023"),IF(D4="23/24",("07/01/2024"),IF(D4="24/24",("07/01/2025")))))))))))))</f>
        <v/>
      </c>
      <c r="E8" s="5" t="str">
        <f t="shared" ref="E8:F8" si="1">IF(E4="","",IF(E4="14/15",("7/01/2015"),IF(E4="15/16",("7/01/2016"),IF(E4="16/17",("7/01/2017"),IF(E4="17/18",("7/01/2018"),IF(E4="18/19",("7/01/2019"),IF(E4="19/20",("7/01/2020"),IF(E4="20/21",("7/01/2021"),IF(E4="21/22",("7/01/2022"),IF(E4="22/23",("7/01/2023"),IF(E4="23/24",("07/01/2024"),IF(E4="24/24",("07/01/2025")))))))))))))</f>
        <v/>
      </c>
      <c r="F8" s="5" t="str">
        <f t="shared" si="1"/>
        <v/>
      </c>
      <c r="G8" s="5" t="str">
        <f>IF(G4="","",IF(G4="14/15",("7/01/2015"),IF(G4="15/16",("7/01/2016"),IF(G4="16/17",("7/01/2017"),IF(G4="17/18",("7/01/2018"),IF(G4="18/19",("7/01/2019"),IF(G4="19/20",("7/01/2020"),IF(G4="20/21",("7/01/2021"),IF(G4="21/22",("7/01/2022"),IF(G4="22/23",("7/01/2023"),IF(G4="23/24",("07/01/2024"),IF(G4="24/24",("07/01/2025")))))))))))))</f>
        <v/>
      </c>
      <c r="H8" s="12"/>
      <c r="I8" s="22"/>
      <c r="J8" s="23"/>
      <c r="K8" s="23"/>
      <c r="L8" s="23"/>
      <c r="M8" s="22"/>
      <c r="N8" s="25"/>
      <c r="O8" s="23"/>
    </row>
    <row r="9" spans="1:15" x14ac:dyDescent="0.2">
      <c r="A9" s="6" t="s">
        <v>49</v>
      </c>
      <c r="B9" s="5"/>
      <c r="C9" s="14">
        <f>IF(C5&lt;C6,C5,IF(C5=C6,C5,IF(C5&gt;C6,C6)))</f>
        <v>12</v>
      </c>
      <c r="D9" s="14">
        <f t="shared" ref="D9:E9" si="2">IF(D5&lt;D6,D5,IF(D5=D6,D5,IF(D5&gt;D6,D6)))</f>
        <v>0</v>
      </c>
      <c r="E9" s="14">
        <f t="shared" si="2"/>
        <v>0</v>
      </c>
      <c r="F9" s="14">
        <f>IF(F5&lt;F6,F5,IF(F5=F6,F5,IF(F5&gt;F6,F6)))</f>
        <v>0</v>
      </c>
      <c r="G9" s="14">
        <f>IF(G5&lt;G6,G5,IF(G5=G6,G5,IF(G5&gt;G6,G6)))</f>
        <v>0</v>
      </c>
      <c r="H9" s="12"/>
      <c r="I9" s="22"/>
      <c r="J9" s="23"/>
      <c r="K9" s="23"/>
      <c r="L9" s="23"/>
      <c r="M9" s="23"/>
      <c r="N9" s="23"/>
      <c r="O9" s="23"/>
    </row>
    <row r="10" spans="1:15" x14ac:dyDescent="0.2">
      <c r="A10" s="6" t="s">
        <v>48</v>
      </c>
      <c r="B10" s="5"/>
      <c r="C10" s="7">
        <f>ROUND(C5-C9,2)</f>
        <v>0</v>
      </c>
      <c r="D10" s="7">
        <f>IF(D4="",0,ROUND(D5-D9,2))</f>
        <v>0</v>
      </c>
      <c r="E10" s="7">
        <f>IF(E4="",0,ROUND(E5-E9,2))</f>
        <v>0</v>
      </c>
      <c r="F10" s="7">
        <f>IF(F4="",0,ROUND(F5-F9,2))</f>
        <v>0</v>
      </c>
      <c r="G10" s="7">
        <f>IF(G4="",0,ROUND(G5-G9,2))</f>
        <v>0</v>
      </c>
      <c r="H10" s="12"/>
      <c r="I10" s="22"/>
      <c r="J10" s="23"/>
      <c r="K10" s="23"/>
      <c r="L10" s="23"/>
      <c r="M10" s="23"/>
      <c r="N10" s="23"/>
      <c r="O10" s="23"/>
    </row>
    <row r="11" spans="1:15" x14ac:dyDescent="0.2">
      <c r="A11" s="6" t="s">
        <v>52</v>
      </c>
      <c r="B11" s="5"/>
      <c r="C11" s="21">
        <f>IF(AND(MONTH(C2)=9,DAY(C2)&lt;=5),1,IF(AND(MONTH(C2)=6,DAY(C2)&lt;=15),0.5,IF(AND(MONTH(C2)=7,DAY(C2)&lt;=15),3,IF(AND(MONTH(C2)=7,DAY(C2)&gt;15),2.5,IF(AND(MONTH(C2)=8,DAY(C2)&lt;=15),2,IF(AND(MONTH(C2)=8,DAY(C2)&gt;15),1.5,0.5))))))</f>
        <v>3</v>
      </c>
      <c r="D11" s="21">
        <f>IF(D4="",0,(IF(AND(MONTH(D2)=9,DAY(D2)&lt;=5),1,IF(AND(MONTH(D2)=6,DAY(D2)&lt;=15),0.5,IF(AND(MONTH(D2)=7,DAY(D2)&lt;=15),3,IF(AND(MONTH(D2)=7,DAY(D2)&gt;15),2.5,IF(AND(MONTH(D2)=8,DAY(D2)&lt;=15),2,IF(AND(MONTH(D2)=8,DAY(D2)&gt;15),1.5,0.5))))))))</f>
        <v>0</v>
      </c>
      <c r="E11" s="21">
        <f t="shared" ref="E11:F11" si="3">IF(E4="",0,(IF(AND(MONTH(E2)=9,DAY(E2)&lt;=5),1,IF(AND(MONTH(E2)=6,DAY(E2)&lt;=15),0.5,IF(AND(MONTH(E2)=7,DAY(E2)&lt;=15),3,IF(AND(MONTH(E2)=7,DAY(E2)&gt;15),2.5,IF(AND(MONTH(E2)=8,DAY(E2)&lt;=15),2,IF(AND(MONTH(E2)=8,DAY(E2)&gt;15),1.5,0.5))))))))</f>
        <v>0</v>
      </c>
      <c r="F11" s="21">
        <f t="shared" si="3"/>
        <v>0</v>
      </c>
      <c r="G11" s="21">
        <f>IF(G4="",0,(IF(AND(MONTH(G2)=9,DAY(G2)&lt;=5),1,IF(AND(MONTH(G2)=6,DAY(G2)&lt;=15),0.5,IF(AND(MONTH(G2)=7,DAY(G2)&lt;=15),3,IF(AND(MONTH(G2)=7,DAY(G2)&gt;15),2.5,IF(AND(MONTH(G2)=8,DAY(G2)&lt;=15),2,IF(AND(MONTH(G2)=8,DAY(G2)&gt;15),1.5,0.5))))))))</f>
        <v>0</v>
      </c>
      <c r="H11" s="12"/>
      <c r="I11" s="22"/>
      <c r="J11" s="23"/>
      <c r="K11" s="23"/>
      <c r="L11" s="23"/>
      <c r="M11" s="23"/>
      <c r="N11" s="23"/>
      <c r="O11" s="23"/>
    </row>
    <row r="12" spans="1:15" x14ac:dyDescent="0.2">
      <c r="A12" s="6" t="s">
        <v>53</v>
      </c>
      <c r="B12" s="5"/>
      <c r="C12" s="7">
        <f>3-C11</f>
        <v>0</v>
      </c>
      <c r="D12" s="7">
        <f>IF(D4="",0,3-D11)</f>
        <v>0</v>
      </c>
      <c r="E12" s="7">
        <f>IF(E4="",0,3-E11)</f>
        <v>0</v>
      </c>
      <c r="F12" s="7">
        <f>IF(F4="",0,3-F11)</f>
        <v>0</v>
      </c>
      <c r="G12" s="7">
        <f>IF(G4="",0,3-G11)</f>
        <v>0</v>
      </c>
      <c r="H12" s="12"/>
      <c r="I12" s="22"/>
      <c r="J12" s="23"/>
      <c r="K12" s="23"/>
      <c r="L12" s="23"/>
      <c r="M12" s="23"/>
      <c r="N12" s="23"/>
      <c r="O12" s="23"/>
    </row>
    <row r="13" spans="1:15" x14ac:dyDescent="0.2">
      <c r="A13" s="71" t="s">
        <v>54</v>
      </c>
      <c r="B13" s="72"/>
      <c r="C13" s="73">
        <f>IF(C9&gt;=C11,C11,C9)</f>
        <v>3</v>
      </c>
      <c r="D13" s="73">
        <f>IF(D4="",0,IF(D9&gt;=D11,D11,D9))</f>
        <v>0</v>
      </c>
      <c r="E13" s="73">
        <f t="shared" ref="E13:G13" si="4">IF(E9&gt;=E11,E11,E9)</f>
        <v>0</v>
      </c>
      <c r="F13" s="73">
        <f t="shared" si="4"/>
        <v>0</v>
      </c>
      <c r="G13" s="73">
        <f t="shared" si="4"/>
        <v>0</v>
      </c>
      <c r="H13" s="12"/>
    </row>
    <row r="14" spans="1:15" x14ac:dyDescent="0.2">
      <c r="A14" s="71" t="s">
        <v>55</v>
      </c>
      <c r="B14" s="72"/>
      <c r="C14" s="73">
        <f>IF(C10&gt;=C12,C12,C10)</f>
        <v>0</v>
      </c>
      <c r="D14" s="73">
        <f t="shared" ref="D14:G14" si="5">IF(D10&gt;=D12,D12,D10)</f>
        <v>0</v>
      </c>
      <c r="E14" s="73">
        <f t="shared" si="5"/>
        <v>0</v>
      </c>
      <c r="F14" s="73">
        <f t="shared" si="5"/>
        <v>0</v>
      </c>
      <c r="G14" s="73">
        <f t="shared" si="5"/>
        <v>0</v>
      </c>
      <c r="H14" s="12"/>
    </row>
    <row r="15" spans="1:15" x14ac:dyDescent="0.2">
      <c r="A15" s="6" t="s">
        <v>57</v>
      </c>
      <c r="B15" s="5">
        <f ca="1">IF(Request!R1="",TODAY(),Request!R1)</f>
        <v>43271</v>
      </c>
      <c r="H15" s="12"/>
    </row>
    <row r="16" spans="1:15" x14ac:dyDescent="0.2">
      <c r="A16" s="6" t="s">
        <v>59</v>
      </c>
      <c r="B16" s="5" t="str">
        <f ca="1">IF(AND(B15&gt;DATEVALUE("6/30/2014"),B15&lt;DATEVALUE("7/1/2015")),"14/15",IF(AND(B15&gt;DATEVALUE("6/30/2015"),B15&lt;DATEVALUE("7/1/2016")),"15/16",IF(AND(B15&gt;DATEVALUE("6/30/2016"),B15&lt;DATEVALUE("7/1/2017")),"16/17",IF(AND(B15&gt;DATEVALUE("6/30/2017"),B15&lt;DATEVALUE("7/1/2018")),"17/18",IF(AND(B15&gt;DATEVALUE("6/30/2018"),B15&lt;DATEVALUE("7/1/2019")),"18/19",IF(AND(B15&gt;DATEVALUE("6/30/2019"),B15&lt;DATEVALUE("7/1/2020")),"19/20",IF(AND(B15&gt;DATEVALUE("6/30/2020"),B15&lt;DATEVALUE("7/1/2021")),"20/21",IF(AND(B15&gt;DATEVALUE("6/30/2021"),B15&lt;DATEVALUE("7/1/2022")),"21/22",IF(AND(B15&gt;DATEVALUE("6/30/2022"),B15&lt;DATEVALUE("7/1/2023")),"22/23",IF(AND(B15&gt;DATEVALUE("6/30/2023"),B15&lt;DATEVALUE("7/1/2024")),"23/24",IF(AND(B15&gt;DATEVALUE("6/30/2024"),B16&lt;DATEVALUE("7/1/2025")),"24/25")))))))))))</f>
        <v>17/18</v>
      </c>
      <c r="C16" s="240" t="s">
        <v>178</v>
      </c>
      <c r="D16" s="241"/>
      <c r="E16" s="241"/>
      <c r="F16" s="241"/>
      <c r="G16" s="242"/>
      <c r="H16" s="12"/>
    </row>
    <row r="17" spans="1:8" x14ac:dyDescent="0.2">
      <c r="A17" s="6" t="s">
        <v>60</v>
      </c>
      <c r="B17" s="5" t="str">
        <f ca="1">IF(B16="14/15",("7/01/2015"),IF(B16="15/16",("7/01/2016"),IF(B16="16/17",("7/01/2017"),IF(B16="17/18",("7/01/2018"),IF(B16="18/19",("7/01/2019"),IF(B16="19/20",("7/01/2020"),IF(B16="20/21",("7/01/2021"),IF(B16="21/22",("7/01/2022"),IF(B16="22/23",("7/01/2023"))))))))))</f>
        <v>7/01/2018</v>
      </c>
      <c r="C17" s="28">
        <f>(DATE(YEAR(C2),MONTH(C2)+C6,DAY(C2)-1))</f>
        <v>43646</v>
      </c>
      <c r="D17" s="28" t="str">
        <f>IF(D2="","",(DATE(YEAR(D2),MONTH(D2)+D6,DAY(D2)-1)))</f>
        <v/>
      </c>
      <c r="E17" s="28" t="str">
        <f>IF(E2="","",(DATE(YEAR(E2),MONTH(E2)+E6,DAY(E2)-1)))</f>
        <v/>
      </c>
      <c r="F17" s="28" t="str">
        <f t="shared" ref="F17:G17" si="6">IF(F2="","",(DATE(YEAR(F2),MONTH(F2)+F6,DAY(F2)-1)))</f>
        <v/>
      </c>
      <c r="G17" s="140" t="str">
        <f t="shared" si="6"/>
        <v/>
      </c>
      <c r="H17" s="12"/>
    </row>
    <row r="18" spans="1:8" x14ac:dyDescent="0.2">
      <c r="A18" s="6" t="s">
        <v>58</v>
      </c>
      <c r="B18" s="112">
        <f ca="1">ROUND(IF(B16="","",YEARFRAC(B15,(DATE(YEAR(B17),MONTH(B17),DAY(B17)+1)),1)*12),1)</f>
        <v>0.4</v>
      </c>
      <c r="C18" s="31">
        <f>(DATE(YEAR(C2),MONTH(C2)+C6,DAY(C2)))</f>
        <v>43647</v>
      </c>
      <c r="D18" s="31" t="str">
        <f>IF(D2="","",(DATE(YEAR(D2),MONTH(D2)+D6,DAY(D2))))</f>
        <v/>
      </c>
      <c r="E18" s="31" t="str">
        <f t="shared" ref="E18:G18" si="7">IF(E2="","",(DATE(YEAR(E2),MONTH(E2)+E6,DAY(E2))))</f>
        <v/>
      </c>
      <c r="F18" s="31" t="str">
        <f t="shared" si="7"/>
        <v/>
      </c>
      <c r="G18" s="141" t="str">
        <f t="shared" si="7"/>
        <v/>
      </c>
      <c r="H18" s="12"/>
    </row>
    <row r="19" spans="1:8" x14ac:dyDescent="0.2">
      <c r="A19" s="6" t="s">
        <v>61</v>
      </c>
      <c r="B19" s="112">
        <f ca="1">ROUND(YEARFRAC(B15,(DATE(YEAR(B2),MONTH(B2),DAY(B2)+1)),1)*12,1)</f>
        <v>0.4</v>
      </c>
      <c r="C19" s="33">
        <f>C3</f>
        <v>43646</v>
      </c>
      <c r="D19" s="33" t="str">
        <f>D3</f>
        <v/>
      </c>
      <c r="E19" s="33" t="str">
        <f>E3</f>
        <v/>
      </c>
      <c r="F19" s="33" t="str">
        <f>F3</f>
        <v/>
      </c>
      <c r="G19" s="142" t="str">
        <f>G3</f>
        <v/>
      </c>
      <c r="H19" s="12"/>
    </row>
    <row r="20" spans="1:8" x14ac:dyDescent="0.2">
      <c r="A20" s="6" t="s">
        <v>62</v>
      </c>
      <c r="B20" s="7">
        <f ca="1">IF(B18&gt;B19,0,IF(B19&gt;=B18,ROUNDDOWN((B19-B18)/12+1,0)))</f>
        <v>1</v>
      </c>
      <c r="C20" s="33"/>
      <c r="D20" s="34"/>
      <c r="E20" s="34"/>
      <c r="F20" s="34"/>
      <c r="G20" s="35"/>
      <c r="H20" s="12"/>
    </row>
    <row r="21" spans="1:8" x14ac:dyDescent="0.2">
      <c r="A21" s="6" t="s">
        <v>100</v>
      </c>
      <c r="B21" s="106">
        <f ca="1">IF(C22=TRUE,C21,DATE(YEAR(C21)+1,MONTH(C21),DAY(C21)))</f>
        <v>43344</v>
      </c>
      <c r="C21" s="28" t="str">
        <f ca="1">IF(B16="14/15",("09/01/2014"),IF(B16="15/16",("09/01/2015"),IF(B16="16/17",("09/01/2016"),IF(B16="17/18",("09/1/2017")))))</f>
        <v>09/1/2017</v>
      </c>
      <c r="D21" s="29"/>
      <c r="E21" s="29"/>
      <c r="F21" s="29"/>
      <c r="G21" s="30"/>
      <c r="H21" s="12"/>
    </row>
    <row r="22" spans="1:8" x14ac:dyDescent="0.2">
      <c r="A22" s="6" t="s">
        <v>101</v>
      </c>
      <c r="B22" s="7">
        <f ca="1">ROUND(IF(B16="","",YEARFRAC(B15,(DATE(YEAR(B21),MONTH(B21),DAY(B21)+1)),1)*12),1)</f>
        <v>2.4</v>
      </c>
      <c r="C22" s="31" t="b">
        <f ca="1">(DATE(YEAR(C21),MONTH(C21),DAY(C21))&gt;(DATE(YEAR(B15),MONTH(B15),DAY(B15))))</f>
        <v>0</v>
      </c>
      <c r="D22" s="13"/>
      <c r="E22" s="13"/>
      <c r="F22" s="13"/>
      <c r="G22" s="32"/>
      <c r="H22" s="12"/>
    </row>
    <row r="23" spans="1:8" x14ac:dyDescent="0.2">
      <c r="A23" s="6" t="s">
        <v>102</v>
      </c>
      <c r="B23" s="7">
        <f ca="1">ROUND(YEARFRAC(B15,(DATE(YEAR(B2),MONTH(B2),DAY(B2)+1)),1)*12,1)</f>
        <v>0.4</v>
      </c>
      <c r="C23" s="31"/>
      <c r="D23" s="13"/>
      <c r="E23" s="13"/>
      <c r="F23" s="13"/>
      <c r="G23" s="32"/>
      <c r="H23" s="12"/>
    </row>
    <row r="24" spans="1:8" x14ac:dyDescent="0.2">
      <c r="A24" s="6" t="s">
        <v>103</v>
      </c>
      <c r="B24" s="36">
        <f ca="1">IF(AND(B22&gt;=B23,B22&lt;5),0,(IF(AND(B22&gt;=B23,B22&gt;=5),1,(IF(AND(B23&gt;B22,B22&gt;=5),ROUND((B23-B22)/12+1,0),((ROUND((B23-B22)/12,0))))))))</f>
        <v>0</v>
      </c>
      <c r="C24" s="33"/>
      <c r="D24" s="34"/>
      <c r="E24" s="34"/>
      <c r="F24" s="34"/>
      <c r="G24" s="35"/>
      <c r="H24" s="12"/>
    </row>
    <row r="25" spans="1:8" x14ac:dyDescent="0.2">
      <c r="A25" s="6" t="s">
        <v>114</v>
      </c>
      <c r="B25" s="7"/>
      <c r="C25" s="7">
        <f>IF(MONTH(C2)=7,9,IF(MONTH(C2)=8,9,IF(MONTH(C2)=9,9,IF(MONTH(C2)=10,9,IF(MONTH(C2)=11,8,IF(MONTH(C2)=12,7,IF(MONTH(C2)=1,6,IF(MONTH(C2)=2,5,IF(MONTH(C2)=3,4,IF(MONTH(C2)=4,3,IF(MONTH(C2)=5,2,IF(MONTH(C2)=6,1))))))))))))</f>
        <v>9</v>
      </c>
      <c r="D25" s="7">
        <f>IF(D2="",0,(IF(MONTH(D2)=7,9,IF(MONTH(D2)=8,9,IF(MONTH(D2)=9,9,IF(MONTH(D2)=10,9,IF(MONTH(D2)=11,8,IF(MONTH(D2)=12,7,IF(MONTH(D2)=1,6,IF(MONTH(D2)=2,5,IF(MONTH(D2)=3,4,IF(MONTH(D2)=4,3,IF(MONTH(D2)=5,2,IF(MONTH(D2)=6,1))))))))))))))</f>
        <v>0</v>
      </c>
      <c r="E25" s="7">
        <f>IF(E2="",0,(IF(MONTH(E2)=7,9,IF(MONTH(E2)=8,9,IF(MONTH(E2)=9,9,IF(MONTH(E2)=10,9,IF(MONTH(E2)=11,8,IF(MONTH(E2)=12,7,IF(MONTH(E2)=1,6,IF(MONTH(E2)=2,5,IF(MONTH(E2)=3,4,IF(MONTH(E2)=4,3,IF(MONTH(E2)=5,2,IF(MONTH(E2)=6,1))))))))))))))</f>
        <v>0</v>
      </c>
      <c r="F25" s="7">
        <f>IF(F2="",0,(IF(MONTH(F2)=7,9,IF(MONTH(F2)=8,9,IF(MONTH(F2)=9,9,IF(MONTH(F2)=10,9,IF(MONTH(F2)=11,8,IF(MONTH(F2)=12,7,IF(MONTH(F2)=1,6,IF(MONTH(F2)=2,5,IF(MONTH(F2)=3,4,IF(MONTH(F2)=4,3,IF(MONTH(F2)=5,2,IF(MONTH(F2)=6,1))))))))))))))</f>
        <v>0</v>
      </c>
      <c r="G25" s="7">
        <f>IF(G4="",0,(IF(MONTH(G2)=7,9,IF(MONTH(G2)=8,9,IF(MONTH(G2)=9,9,IF(MONTH(G2)=10,9,IF(MONTH(G2)=11,9,IF(MONTH(G2)=12,9,IF(MONTH(G2)=1,6,IF(MONTH(G2)=2,6,IF(MONTH(G2)=3,3,IF(MONTH(G2)=4,3,IF(MONTH(G2)=5,3,IF(MONTH(G2)=6,0))))))))))))))</f>
        <v>0</v>
      </c>
      <c r="H25" s="12"/>
    </row>
    <row r="26" spans="1:8" x14ac:dyDescent="0.2">
      <c r="A26" s="6" t="s">
        <v>115</v>
      </c>
      <c r="B26" s="7"/>
      <c r="C26" s="14">
        <f>9-C25</f>
        <v>0</v>
      </c>
      <c r="D26" s="14">
        <f>IF(D4="",0,9-D25)</f>
        <v>0</v>
      </c>
      <c r="E26" s="14">
        <f>IF(E4="",0,9-E25)</f>
        <v>0</v>
      </c>
      <c r="F26" s="14">
        <f>IF(F4="",0,9-F25)</f>
        <v>0</v>
      </c>
      <c r="G26" s="14">
        <f>IF(G4="",0,9-G25)</f>
        <v>0</v>
      </c>
      <c r="H26" s="12"/>
    </row>
    <row r="27" spans="1:8" x14ac:dyDescent="0.2">
      <c r="A27" s="6" t="s">
        <v>116</v>
      </c>
      <c r="B27" s="7"/>
      <c r="C27" s="7">
        <f>IF(C5&lt;C25,C5,C25)</f>
        <v>9</v>
      </c>
      <c r="D27" s="7">
        <f>IF(D5&lt;D25,D5,D25)</f>
        <v>0</v>
      </c>
      <c r="E27" s="7">
        <f t="shared" ref="E27:G27" si="8">IF(E5&lt;E25,E5,E25)</f>
        <v>0</v>
      </c>
      <c r="F27" s="7">
        <f t="shared" si="8"/>
        <v>0</v>
      </c>
      <c r="G27" s="7">
        <f t="shared" si="8"/>
        <v>0</v>
      </c>
      <c r="H27" s="12"/>
    </row>
    <row r="28" spans="1:8" x14ac:dyDescent="0.2">
      <c r="A28" s="6" t="s">
        <v>117</v>
      </c>
      <c r="B28" s="5"/>
      <c r="C28" s="7">
        <f>IF(C5&lt;C25,0,IF(C5&lt;C25+C26,C5-C25,C26))</f>
        <v>0</v>
      </c>
      <c r="D28" s="7">
        <f>IF(D4="",0,IF(D5&lt;D25,0,IF(D5&lt;D25+D26,D5-D25,D26)))</f>
        <v>0</v>
      </c>
      <c r="E28" s="7">
        <f>IF(E4="",0,IF(E5&lt;E25,0,IF(E5&lt;E25+E26,E5-E25,E26)))</f>
        <v>0</v>
      </c>
      <c r="F28" s="7">
        <f>IF(F4="",0,IF(F5&lt;F25,0,IF(F5&lt;F25+F26,F5-F25,F26)))</f>
        <v>0</v>
      </c>
      <c r="G28" s="7">
        <f>IF(G4="",0,(IF(G5&lt;G25,0,IF(G5&lt;G25+G26,G5-G25,G26))))</f>
        <v>0</v>
      </c>
      <c r="H28" s="12"/>
    </row>
    <row r="29" spans="1:8" x14ac:dyDescent="0.2">
      <c r="A29" s="6" t="s">
        <v>157</v>
      </c>
      <c r="B29" s="5"/>
      <c r="C29" s="7">
        <f>C27+C28</f>
        <v>9</v>
      </c>
      <c r="D29" s="7">
        <f t="shared" ref="D29:G29" si="9">D27+D28</f>
        <v>0</v>
      </c>
      <c r="E29" s="7">
        <f t="shared" si="9"/>
        <v>0</v>
      </c>
      <c r="F29" s="7">
        <f t="shared" si="9"/>
        <v>0</v>
      </c>
      <c r="G29" s="7">
        <f t="shared" si="9"/>
        <v>0</v>
      </c>
      <c r="H29" s="12"/>
    </row>
    <row r="30" spans="1:8" x14ac:dyDescent="0.2">
      <c r="A30" s="6" t="s">
        <v>158</v>
      </c>
      <c r="B30" s="5"/>
      <c r="C30" s="7">
        <f>IF(C29=0,0,IF(C29&lt;4,1,IF(C29&lt;7,2,3)))</f>
        <v>3</v>
      </c>
      <c r="D30" s="7">
        <f t="shared" ref="D30:F30" si="10">IF(D29=0,0,IF(D29&lt;4,1,IF(D29&lt;7,2,3)))</f>
        <v>0</v>
      </c>
      <c r="E30" s="7">
        <f t="shared" si="10"/>
        <v>0</v>
      </c>
      <c r="F30" s="7">
        <f t="shared" si="10"/>
        <v>0</v>
      </c>
      <c r="G30" s="7">
        <f>IF(G29=0,0,IF(G29&lt;4,1,IF(G29&lt;7,2,3)))</f>
        <v>0</v>
      </c>
      <c r="H30" s="12"/>
    </row>
    <row r="31" spans="1:8" x14ac:dyDescent="0.2">
      <c r="A31" s="3"/>
      <c r="B31" s="13"/>
      <c r="C31" s="27"/>
      <c r="D31" s="27"/>
      <c r="E31" s="27"/>
      <c r="F31" s="27"/>
      <c r="G31" s="27"/>
      <c r="H31" s="12"/>
    </row>
    <row r="32" spans="1:8" x14ac:dyDescent="0.2">
      <c r="A32" s="3"/>
      <c r="B32" s="13"/>
      <c r="C32" s="27"/>
      <c r="D32" s="27"/>
      <c r="E32" s="27"/>
      <c r="F32" s="27"/>
      <c r="G32" s="27"/>
      <c r="H32" s="12"/>
    </row>
    <row r="33" spans="1:12" x14ac:dyDescent="0.2">
      <c r="A33" s="2" t="s">
        <v>3</v>
      </c>
    </row>
    <row r="34" spans="1:12" x14ac:dyDescent="0.2">
      <c r="A34" s="9" t="s">
        <v>28</v>
      </c>
      <c r="B34" s="10" t="s">
        <v>33</v>
      </c>
      <c r="C34" s="10" t="s">
        <v>34</v>
      </c>
      <c r="D34" s="10" t="s">
        <v>43</v>
      </c>
      <c r="E34" s="10" t="s">
        <v>35</v>
      </c>
      <c r="F34" s="10" t="s">
        <v>36</v>
      </c>
      <c r="G34" s="10" t="s">
        <v>37</v>
      </c>
      <c r="H34" s="10" t="s">
        <v>38</v>
      </c>
      <c r="I34" s="10" t="s">
        <v>39</v>
      </c>
      <c r="J34" s="10" t="s">
        <v>40</v>
      </c>
      <c r="K34" s="10" t="s">
        <v>41</v>
      </c>
      <c r="L34" s="10" t="s">
        <v>42</v>
      </c>
    </row>
    <row r="35" spans="1:12" x14ac:dyDescent="0.2">
      <c r="A35" s="4" t="s">
        <v>14</v>
      </c>
      <c r="B35" s="4">
        <v>0.20799999999999999</v>
      </c>
      <c r="C35" s="4">
        <v>0.192</v>
      </c>
      <c r="D35" s="4">
        <v>0.19500000000000001</v>
      </c>
      <c r="E35" s="4" t="e">
        <f>IF(Request!#REF!="yes",ROUND(D35*1.03,3),$D35)</f>
        <v>#REF!</v>
      </c>
      <c r="F35" s="4" t="e">
        <f>IF(Request!#REF!="yes",ROUND(E35*1.03,3),$D35)</f>
        <v>#REF!</v>
      </c>
      <c r="G35" s="4" t="e">
        <f>IF(Request!#REF!="yes",ROUND(F35*1.03,3),$D35)</f>
        <v>#REF!</v>
      </c>
      <c r="H35" s="4" t="e">
        <f>IF(Request!#REF!="yes",ROUND(G35*1.03,3),$D35)</f>
        <v>#REF!</v>
      </c>
      <c r="I35" s="4" t="e">
        <f>IF(Request!#REF!="yes",ROUND(H35*1.03,3),$D35)</f>
        <v>#REF!</v>
      </c>
      <c r="J35" s="4" t="e">
        <f>IF(Request!#REF!="yes",ROUND(I35*1.03,3),$D35)</f>
        <v>#REF!</v>
      </c>
      <c r="K35" s="4" t="e">
        <f>IF(Request!#REF!="yes",ROUND(J35*1.03,3),$D35)</f>
        <v>#REF!</v>
      </c>
      <c r="L35" s="199" t="e">
        <f>IF(Request!#REF!="yes",ROUND(K35*1.03,3),$D35)</f>
        <v>#REF!</v>
      </c>
    </row>
    <row r="36" spans="1:12" x14ac:dyDescent="0.2">
      <c r="A36" s="4" t="s">
        <v>15</v>
      </c>
      <c r="B36" s="4">
        <v>0.317</v>
      </c>
      <c r="C36" s="4">
        <v>0.31900000000000001</v>
      </c>
      <c r="D36" s="4">
        <v>0.309</v>
      </c>
      <c r="E36" s="4" t="e">
        <f>IF(Request!#REF!="yes",ROUND(D36*1.03,3),$D36)</f>
        <v>#REF!</v>
      </c>
      <c r="F36" s="4" t="e">
        <f>IF(Request!#REF!="yes",ROUND(E36*1.03,3),$D36)</f>
        <v>#REF!</v>
      </c>
      <c r="G36" s="4" t="e">
        <f>IF(Request!#REF!="yes",ROUND(F36*1.03,3),$D36)</f>
        <v>#REF!</v>
      </c>
      <c r="H36" s="4" t="e">
        <f>IF(Request!#REF!="yes",ROUND(G36*1.03,3),$D36)</f>
        <v>#REF!</v>
      </c>
      <c r="I36" s="4" t="e">
        <f>IF(Request!#REF!="yes",ROUND(H36*1.03,3),$D36)</f>
        <v>#REF!</v>
      </c>
      <c r="J36" s="4" t="e">
        <f>IF(Request!#REF!="yes",ROUND(I36*1.03,3),$D36)</f>
        <v>#REF!</v>
      </c>
      <c r="K36" s="4" t="e">
        <f>IF(Request!#REF!="yes",ROUND(J36*1.03,3),$D36)</f>
        <v>#REF!</v>
      </c>
      <c r="L36" s="199" t="e">
        <f>IF(Request!#REF!="yes",ROUND(K36*1.03,3),$D36)</f>
        <v>#REF!</v>
      </c>
    </row>
    <row r="37" spans="1:12" x14ac:dyDescent="0.2">
      <c r="A37" s="4" t="s">
        <v>29</v>
      </c>
      <c r="B37" s="4">
        <v>0.38300000000000001</v>
      </c>
      <c r="C37" s="4">
        <v>0.379</v>
      </c>
      <c r="D37" s="4">
        <v>0.38100000000000001</v>
      </c>
      <c r="E37" s="4" t="e">
        <f>IF(Request!#REF!="yes",ROUND(D37*1.03,3),$D37)</f>
        <v>#REF!</v>
      </c>
      <c r="F37" s="4" t="e">
        <f>IF(Request!#REF!="yes",ROUND(E37*1.03,3),$D37)</f>
        <v>#REF!</v>
      </c>
      <c r="G37" s="4" t="e">
        <f>IF(Request!#REF!="yes",ROUND(F37*1.03,3),$D37)</f>
        <v>#REF!</v>
      </c>
      <c r="H37" s="4" t="e">
        <f>IF(Request!#REF!="yes",ROUND(G37*1.03,3),$D37)</f>
        <v>#REF!</v>
      </c>
      <c r="I37" s="4" t="e">
        <f>IF(Request!#REF!="yes",ROUND(H37*1.03,3),$D37)</f>
        <v>#REF!</v>
      </c>
      <c r="J37" s="4" t="e">
        <f>IF(Request!#REF!="yes",ROUND(I37*1.03,3),$D37)</f>
        <v>#REF!</v>
      </c>
      <c r="K37" s="4" t="e">
        <f>IF(Request!#REF!="yes",ROUND(J37*1.03,3),$D37)</f>
        <v>#REF!</v>
      </c>
      <c r="L37" s="199" t="e">
        <f>IF(Request!#REF!="yes",ROUND(K37*1.03,3),$D37)</f>
        <v>#REF!</v>
      </c>
    </row>
    <row r="38" spans="1:12" x14ac:dyDescent="0.2">
      <c r="A38" s="4" t="s">
        <v>19</v>
      </c>
      <c r="B38" s="4">
        <v>0.504</v>
      </c>
      <c r="C38" s="4">
        <v>0.51400000000000001</v>
      </c>
      <c r="D38" s="4">
        <v>0.51300000000000001</v>
      </c>
      <c r="E38" s="4" t="e">
        <f>IF(Request!#REF!="yes",ROUND(D38*1.03,3),$D38)</f>
        <v>#REF!</v>
      </c>
      <c r="F38" s="4" t="e">
        <f>IF(Request!#REF!="yes",ROUND(E38*1.03,3),$D38)</f>
        <v>#REF!</v>
      </c>
      <c r="G38" s="4" t="e">
        <f>IF(Request!#REF!="yes",ROUND(F38*1.03,3),$D38)</f>
        <v>#REF!</v>
      </c>
      <c r="H38" s="4" t="e">
        <f>IF(Request!#REF!="yes",ROUND(G38*1.03,3),$D38)</f>
        <v>#REF!</v>
      </c>
      <c r="I38" s="4" t="e">
        <f>IF(Request!#REF!="yes",ROUND(H38*1.03,3),$D38)</f>
        <v>#REF!</v>
      </c>
      <c r="J38" s="4" t="e">
        <f>IF(Request!#REF!="yes",ROUND(I38*1.03,3),$D38)</f>
        <v>#REF!</v>
      </c>
      <c r="K38" s="4" t="e">
        <f>IF(Request!#REF!="yes",ROUND(J38*1.03,3),$D38)</f>
        <v>#REF!</v>
      </c>
      <c r="L38" s="199" t="e">
        <f>IF(Request!#REF!="yes",ROUND(K38*1.03,3),$D38)</f>
        <v>#REF!</v>
      </c>
    </row>
    <row r="39" spans="1:12" x14ac:dyDescent="0.2">
      <c r="A39" s="4" t="s">
        <v>30</v>
      </c>
      <c r="B39" s="4">
        <v>0.66400000000000003</v>
      </c>
      <c r="C39" s="4">
        <v>0.66300000000000003</v>
      </c>
      <c r="D39" s="4">
        <v>0.622</v>
      </c>
      <c r="E39" s="4" t="e">
        <f>IF(Request!#REF!="yes",ROUND(D39*1.03,3),$D39)</f>
        <v>#REF!</v>
      </c>
      <c r="F39" s="4" t="e">
        <f>IF(Request!#REF!="yes",ROUND(E39*1.03,3),$D39)</f>
        <v>#REF!</v>
      </c>
      <c r="G39" s="4" t="e">
        <f>IF(Request!#REF!="yes",ROUND(F39*1.03,3),$D39)</f>
        <v>#REF!</v>
      </c>
      <c r="H39" s="4" t="e">
        <f>IF(Request!#REF!="yes",ROUND(G39*1.03,3),$D39)</f>
        <v>#REF!</v>
      </c>
      <c r="I39" s="4" t="e">
        <f>IF(Request!#REF!="yes",ROUND(H39*1.03,3),$D39)</f>
        <v>#REF!</v>
      </c>
      <c r="J39" s="4" t="e">
        <f>IF(Request!#REF!="yes",ROUND(I39*1.03,3),$D39)</f>
        <v>#REF!</v>
      </c>
      <c r="K39" s="4" t="e">
        <f>IF(Request!#REF!="yes",ROUND(J39*1.03,3),$D39)</f>
        <v>#REF!</v>
      </c>
      <c r="L39" s="199" t="e">
        <f>IF(Request!#REF!="yes",ROUND(K39*1.03,3),$D39)</f>
        <v>#REF!</v>
      </c>
    </row>
    <row r="40" spans="1:12" x14ac:dyDescent="0.2">
      <c r="A40" s="4" t="s">
        <v>18</v>
      </c>
      <c r="B40" s="4">
        <v>0.16</v>
      </c>
      <c r="C40" s="4">
        <v>0.17100000000000001</v>
      </c>
      <c r="D40" s="4">
        <v>0.17299999999999999</v>
      </c>
      <c r="E40" s="4" t="e">
        <f>IF(Request!#REF!="yes",ROUND(D40*1.03,3),$D40)</f>
        <v>#REF!</v>
      </c>
      <c r="F40" s="4" t="e">
        <f>IF(Request!#REF!="yes",ROUND(E40*1.03,3),$D40)</f>
        <v>#REF!</v>
      </c>
      <c r="G40" s="4" t="e">
        <f>IF(Request!#REF!="yes",ROUND(F40*1.03,3),$D40)</f>
        <v>#REF!</v>
      </c>
      <c r="H40" s="4" t="e">
        <f>IF(Request!#REF!="yes",ROUND(G40*1.03,3),$D40)</f>
        <v>#REF!</v>
      </c>
      <c r="I40" s="4" t="e">
        <f>IF(Request!#REF!="yes",ROUND(H40*1.03,3),$D40)</f>
        <v>#REF!</v>
      </c>
      <c r="J40" s="4" t="e">
        <f>IF(Request!#REF!="yes",ROUND(I40*1.03,3),$D40)</f>
        <v>#REF!</v>
      </c>
      <c r="K40" s="4" t="e">
        <f>IF(Request!#REF!="yes",ROUND(J40*1.03,3),$D40)</f>
        <v>#REF!</v>
      </c>
      <c r="L40" s="199" t="e">
        <f>IF(Request!#REF!="yes",ROUND(K40*1.03,3),$D40)</f>
        <v>#REF!</v>
      </c>
    </row>
    <row r="41" spans="1:12" x14ac:dyDescent="0.2">
      <c r="A41" s="4" t="s">
        <v>31</v>
      </c>
      <c r="B41" s="4">
        <v>1.2999999999999999E-2</v>
      </c>
      <c r="C41" s="4">
        <v>1.2999999999999999E-2</v>
      </c>
      <c r="D41" s="4">
        <v>1.2999999999999999E-2</v>
      </c>
      <c r="E41" s="4" t="e">
        <f>IF(Request!#REF!="yes",ROUND(D41*1.03,3),$D41)</f>
        <v>#REF!</v>
      </c>
      <c r="F41" s="4" t="e">
        <f>IF(Request!#REF!="yes",ROUND(E41*1.03,3),$D41)</f>
        <v>#REF!</v>
      </c>
      <c r="G41" s="4" t="e">
        <f>IF(Request!#REF!="yes",ROUND(F41*1.03,3),$D41)</f>
        <v>#REF!</v>
      </c>
      <c r="H41" s="4" t="e">
        <f>IF(Request!#REF!="yes",ROUND(G41*1.03,3),$D41)</f>
        <v>#REF!</v>
      </c>
      <c r="I41" s="4" t="e">
        <f>IF(Request!#REF!="yes",ROUND(H41*1.03,3),$D41)</f>
        <v>#REF!</v>
      </c>
      <c r="J41" s="4" t="e">
        <f>IF(Request!#REF!="yes",ROUND(I41*1.03,3),$D41)</f>
        <v>#REF!</v>
      </c>
      <c r="K41" s="4" t="e">
        <f>IF(Request!#REF!="yes",ROUND(J41*1.03,3),$D41)</f>
        <v>#REF!</v>
      </c>
      <c r="L41" s="199" t="e">
        <f>IF(Request!#REF!="yes",ROUND(K41*1.03,3),$D41)</f>
        <v>#REF!</v>
      </c>
    </row>
    <row r="42" spans="1:12" x14ac:dyDescent="0.2">
      <c r="A42" s="4" t="s">
        <v>32</v>
      </c>
      <c r="B42" s="4">
        <v>0.104</v>
      </c>
      <c r="C42" s="4">
        <v>0.106</v>
      </c>
      <c r="D42" s="4">
        <v>9.0999999999999998E-2</v>
      </c>
      <c r="E42" s="4" t="e">
        <f>IF(Request!#REF!="yes",ROUND(D42*1.03,3),$D42)</f>
        <v>#REF!</v>
      </c>
      <c r="F42" s="4" t="e">
        <f>IF(Request!#REF!="yes",ROUND(E42*1.03,3),$D42)</f>
        <v>#REF!</v>
      </c>
      <c r="G42" s="4" t="e">
        <f>IF(Request!#REF!="yes",ROUND(F42*1.03,3),$D42)</f>
        <v>#REF!</v>
      </c>
      <c r="H42" s="4" t="e">
        <f>IF(Request!#REF!="yes",ROUND(G42*1.03,3),$D42)</f>
        <v>#REF!</v>
      </c>
      <c r="I42" s="4" t="e">
        <f>IF(Request!#REF!="yes",ROUND(H42*1.03,3),$D42)</f>
        <v>#REF!</v>
      </c>
      <c r="J42" s="4" t="e">
        <f>IF(Request!#REF!="yes",ROUND(I42*1.03,3),$D42)</f>
        <v>#REF!</v>
      </c>
      <c r="K42" s="4" t="e">
        <f>IF(Request!#REF!="yes",ROUND(J42*1.03,3),$D42)</f>
        <v>#REF!</v>
      </c>
      <c r="L42" s="199" t="e">
        <f>IF(Request!#REF!="yes",ROUND(K42*1.03,3),$D42)</f>
        <v>#REF!</v>
      </c>
    </row>
    <row r="43" spans="1:12" x14ac:dyDescent="0.2">
      <c r="A43" s="4" t="s">
        <v>21</v>
      </c>
      <c r="B43" s="4">
        <v>3.1E-2</v>
      </c>
      <c r="C43" s="4">
        <v>3.3000000000000002E-2</v>
      </c>
      <c r="D43" s="4">
        <v>3.5999999999999997E-2</v>
      </c>
      <c r="E43" s="4" t="e">
        <f>IF(Request!#REF!="yes",ROUND(D43*1.03,3),$D43)</f>
        <v>#REF!</v>
      </c>
      <c r="F43" s="4" t="e">
        <f>IF(Request!#REF!="yes",ROUND(E43*1.03,3),$D43)</f>
        <v>#REF!</v>
      </c>
      <c r="G43" s="4" t="e">
        <f>IF(Request!#REF!="yes",ROUND(F43*1.03,3),$D43)</f>
        <v>#REF!</v>
      </c>
      <c r="H43" s="4" t="e">
        <f>IF(Request!#REF!="yes",ROUND(G43*1.03,3),$D43)</f>
        <v>#REF!</v>
      </c>
      <c r="I43" s="4" t="e">
        <f>IF(Request!#REF!="yes",ROUND(H43*1.03,3),$D43)</f>
        <v>#REF!</v>
      </c>
      <c r="J43" s="4" t="e">
        <f>IF(Request!#REF!="yes",ROUND(I43*1.03,3),$D43)</f>
        <v>#REF!</v>
      </c>
      <c r="K43" s="4" t="e">
        <f>IF(Request!#REF!="yes",ROUND(J43*1.03,3),$D43)</f>
        <v>#REF!</v>
      </c>
      <c r="L43" s="199" t="e">
        <f>IF(Request!#REF!="yes",ROUND(K43*1.03,3),$D43)</f>
        <v>#REF!</v>
      </c>
    </row>
    <row r="45" spans="1:12" x14ac:dyDescent="0.2">
      <c r="B45" s="222" t="s">
        <v>8</v>
      </c>
      <c r="C45" s="223"/>
      <c r="D45" s="222" t="s">
        <v>9</v>
      </c>
      <c r="E45" s="223"/>
      <c r="F45" s="222" t="s">
        <v>10</v>
      </c>
      <c r="G45" s="223"/>
      <c r="H45" s="222" t="s">
        <v>23</v>
      </c>
      <c r="I45" s="223"/>
      <c r="J45" s="222" t="s">
        <v>11</v>
      </c>
      <c r="K45" s="223"/>
    </row>
    <row r="46" spans="1:12" x14ac:dyDescent="0.2">
      <c r="A46" s="9" t="s">
        <v>44</v>
      </c>
      <c r="B46" s="11" t="s">
        <v>45</v>
      </c>
      <c r="C46" s="11" t="s">
        <v>46</v>
      </c>
      <c r="D46" s="11" t="s">
        <v>45</v>
      </c>
      <c r="E46" s="11" t="s">
        <v>46</v>
      </c>
      <c r="F46" s="11" t="s">
        <v>45</v>
      </c>
      <c r="G46" s="11" t="s">
        <v>46</v>
      </c>
      <c r="H46" s="11" t="s">
        <v>45</v>
      </c>
      <c r="I46" s="11" t="s">
        <v>46</v>
      </c>
      <c r="J46" s="11" t="s">
        <v>45</v>
      </c>
      <c r="K46" s="11" t="s">
        <v>46</v>
      </c>
    </row>
    <row r="47" spans="1:12" x14ac:dyDescent="0.2">
      <c r="A47" s="4" t="s">
        <v>14</v>
      </c>
      <c r="B47" s="4" t="e">
        <f>IF($C$4=B$34,B35,IF(C4=C34,C35,IF(C4=D34,D35,IF(C4=E34,E35,IF(C4=F34,F35,IF(C4=G34,G35,IF(C4=H34,H35)))))))</f>
        <v>#REF!</v>
      </c>
      <c r="C47" s="4" t="e">
        <f>IF(C7=0,B47,IF(C4=B34,C35,IF(C4=C34,D35,IF(C4=D34,E35,IF(C4=E34,F35,IF(C4=F34,G35,IF(C4=G34,H35,IF(C4=H34,I35))))))))</f>
        <v>#REF!</v>
      </c>
      <c r="D47" s="4">
        <f>IF($D$4="",0,IF($D$4=$C$34,C35,IF($D$4=$D$34,D35,IF($D$4=$E$34,E35,IF($D$4=F34,$F$35,IF($D$4=G34,$G$35,IF($D$4=H34,$H$35)))))))</f>
        <v>0</v>
      </c>
      <c r="E47" s="4">
        <f>IF($D$4="",0,IF($D$7=0,D47,IF($D$4=$B$34,C35,IF($D$4=$C$34,D35,IF($D$4=$D$34,E35,IF($D$4=$E$34,F35,IF($D$4=$F$34,G35,IF($D$4=$G$34,H35,IF($D$4=$H$34,I35,IF($D$4=$I$34,J35))))))))))</f>
        <v>0</v>
      </c>
      <c r="F47" s="4">
        <f t="shared" ref="F47:F55" si="11">IF($E$4="",0,IF($E$4=$D$34,D35,IF($E$4=$E$34,E35,IF($E$4=$F$34,F35,IF($E$4=$G$34,G35,IF($E$4=$H$34,H35,IF($E$4=I34,I35,IF($E$4=$J$34,J35))))))))</f>
        <v>0</v>
      </c>
      <c r="G47" s="4">
        <f>IF($E$4="",0,IF($E$7=0,F47,IF($E$4=$B$34,C35,IF($E$4=$C$34,D35,IF($E$4=$D$34,E35,IF($E$4=$E$34,F35,IF($E$4=$F$34,G35,IF($E$4=$G$34,H35,IF($E$4=$H$34,I35,IF($E$4=$I$34,J35))))))))))</f>
        <v>0</v>
      </c>
      <c r="H47" s="4">
        <f t="shared" ref="H47:H55" si="12">IF($F$4="",0,IF($F$4=$D$34,D35,IF($F$4=$E$34,E35,IF($F$4=$F$34,F35,IF($F$4=$G$34,G35,IF($F$4=$H$34,H35,IF($F$4=$I$34,I35,IF($F$4=$J$34,J35,IF($F$4=$K$34,K35,)))))))))</f>
        <v>0</v>
      </c>
      <c r="I47" s="4">
        <f t="shared" ref="I47:I55" si="13">IF($F$4="",0,IF($F$7=0,H47,IF($F$4=$B$34,$C$35,IF($F$4=$C$34,D35,IF($F$4=$D$34,E35,IF($F$4=$E$34,F35,IF($F$4=$F$34,G35,IF($F$4=$G$34,H35,IF($F$4=$H$34,I35,IF($F$4=$I$34,J35,IF($F$4=$J$34,K35,IF($F$4=$K$34,L35))))))))))))</f>
        <v>0</v>
      </c>
      <c r="J47" s="4">
        <f t="shared" ref="J47:J55" si="14">IF($G$4="",0,IF($G$4=$D$34,D35,IF($G$4=$E$34,E35,IF($G$4=$F$34,F35,IF($G$4=$G$34,G35,IF($G$4=$H$34,H35,IF($G$4=$I$34,I35,IF($G$4=$J$34,J35,IF($G$4=$K$34,K35,IF($G$4=$L$34,L35))))))))))</f>
        <v>0</v>
      </c>
      <c r="K47" s="4">
        <f t="shared" ref="K47:K55" si="15">IF($G$4="",0,IF($G$7=0,J47,IF($G$4=$B$34,C35,IF($G$4=$C$34,D35,IF($G$4=$D$34,E35,IF($G$4=$E$34,F35,IF($G$4=$F$34,G35,IF($G$4=$G$34,H35,IF($G$4=$H$34,I35,IF($G$4=$I$34,J35,IF($G$4=$J$34,K35,IF($G$4=$K$34,L35))))))))))))</f>
        <v>0</v>
      </c>
    </row>
    <row r="48" spans="1:12" x14ac:dyDescent="0.2">
      <c r="A48" s="4" t="s">
        <v>15</v>
      </c>
      <c r="B48" s="4" t="e">
        <f t="shared" ref="B48:B55" si="16">IF($C$4=$B$34,B36,IF($C$4=$C$34,C36,IF($C$4=$D$34,D36,IF($C$4=$E$34,E36,IF($C$4=$F$34,F36,IF($C$4=$G$34,G36,IF($C$4=$H$34,H36)))))))</f>
        <v>#REF!</v>
      </c>
      <c r="C48" s="4" t="e">
        <f t="shared" ref="C48:C55" si="17">IF($C$7=0,B48,IF($C$4=$B$34,C36,IF($C$4=$C$34,D36,IF($C$4=$D$34,E36,IF($C$4=$E$34,F36,IF($C$4=$F$34,G36,IF($C$4=$G$34,H36,IF($C$4=$H$34,I36))))))))</f>
        <v>#REF!</v>
      </c>
      <c r="D48" s="4">
        <f t="shared" ref="D48:D55" si="18">IF($D$4="",0,IF($D$4=$C$34,C36,IF($D$4=$D$34,D36,IF($D$4=$E$34,E36,IF($D$4=$F$34,F36,IF($D$4=$G$34,G36,IF($D$4=$H$34,H36)))))))</f>
        <v>0</v>
      </c>
      <c r="E48" s="4">
        <f t="shared" ref="E48:E55" si="19">IF($D$4="",0,IF($D$7=0,D48,IF($D$4=$B$34,C36,IF($D$4=$C$34,D36,IF($D$4=$D$34,E36,IF($D$4=$E$34,F36,IF($D$4=$F$34,G36,IF($D$4=$G$34,H36,IF($D$4=$H$34,I36,IF($D$4=$I$34,J36))))))))))</f>
        <v>0</v>
      </c>
      <c r="F48" s="4">
        <f t="shared" si="11"/>
        <v>0</v>
      </c>
      <c r="G48" s="4">
        <f t="shared" ref="G48:G55" si="20">IF($E$4="",0,IF($E$7=0,F48,IF($E$4=$B$34,C36,IF($E$4=$C$34,D36,IF($E$4=$D$34,E36,IF($E$4=$E$34,F36,IF($E$4=$F$34,G36,IF($E$4=$G$34,H36,IF($E$4=$H$34,I36,IF($E$4=$I$34,J36))))))))))</f>
        <v>0</v>
      </c>
      <c r="H48" s="4">
        <f t="shared" si="12"/>
        <v>0</v>
      </c>
      <c r="I48" s="4">
        <f t="shared" si="13"/>
        <v>0</v>
      </c>
      <c r="J48" s="4">
        <f t="shared" si="14"/>
        <v>0</v>
      </c>
      <c r="K48" s="4">
        <f t="shared" si="15"/>
        <v>0</v>
      </c>
    </row>
    <row r="49" spans="1:11" x14ac:dyDescent="0.2">
      <c r="A49" s="4" t="s">
        <v>29</v>
      </c>
      <c r="B49" s="4" t="e">
        <f t="shared" si="16"/>
        <v>#REF!</v>
      </c>
      <c r="C49" s="4" t="e">
        <f t="shared" si="17"/>
        <v>#REF!</v>
      </c>
      <c r="D49" s="4">
        <f t="shared" si="18"/>
        <v>0</v>
      </c>
      <c r="E49" s="4">
        <f t="shared" si="19"/>
        <v>0</v>
      </c>
      <c r="F49" s="4">
        <f t="shared" si="11"/>
        <v>0</v>
      </c>
      <c r="G49" s="4">
        <f t="shared" si="20"/>
        <v>0</v>
      </c>
      <c r="H49" s="4">
        <f t="shared" si="12"/>
        <v>0</v>
      </c>
      <c r="I49" s="4">
        <f t="shared" si="13"/>
        <v>0</v>
      </c>
      <c r="J49" s="4">
        <f t="shared" si="14"/>
        <v>0</v>
      </c>
      <c r="K49" s="4">
        <f t="shared" si="15"/>
        <v>0</v>
      </c>
    </row>
    <row r="50" spans="1:11" x14ac:dyDescent="0.2">
      <c r="A50" s="4" t="s">
        <v>19</v>
      </c>
      <c r="B50" s="4" t="e">
        <f t="shared" si="16"/>
        <v>#REF!</v>
      </c>
      <c r="C50" s="4" t="e">
        <f t="shared" si="17"/>
        <v>#REF!</v>
      </c>
      <c r="D50" s="4">
        <f t="shared" si="18"/>
        <v>0</v>
      </c>
      <c r="E50" s="4">
        <f t="shared" si="19"/>
        <v>0</v>
      </c>
      <c r="F50" s="4">
        <f t="shared" si="11"/>
        <v>0</v>
      </c>
      <c r="G50" s="4">
        <f t="shared" si="20"/>
        <v>0</v>
      </c>
      <c r="H50" s="4">
        <f t="shared" si="12"/>
        <v>0</v>
      </c>
      <c r="I50" s="4">
        <f t="shared" si="13"/>
        <v>0</v>
      </c>
      <c r="J50" s="4">
        <f t="shared" si="14"/>
        <v>0</v>
      </c>
      <c r="K50" s="4">
        <f t="shared" si="15"/>
        <v>0</v>
      </c>
    </row>
    <row r="51" spans="1:11" x14ac:dyDescent="0.2">
      <c r="A51" s="4" t="s">
        <v>30</v>
      </c>
      <c r="B51" s="4" t="e">
        <f t="shared" si="16"/>
        <v>#REF!</v>
      </c>
      <c r="C51" s="4" t="e">
        <f t="shared" si="17"/>
        <v>#REF!</v>
      </c>
      <c r="D51" s="4">
        <f t="shared" si="18"/>
        <v>0</v>
      </c>
      <c r="E51" s="4">
        <f t="shared" si="19"/>
        <v>0</v>
      </c>
      <c r="F51" s="4">
        <f t="shared" si="11"/>
        <v>0</v>
      </c>
      <c r="G51" s="4">
        <f t="shared" si="20"/>
        <v>0</v>
      </c>
      <c r="H51" s="4">
        <f t="shared" si="12"/>
        <v>0</v>
      </c>
      <c r="I51" s="4">
        <f t="shared" si="13"/>
        <v>0</v>
      </c>
      <c r="J51" s="4">
        <f t="shared" si="14"/>
        <v>0</v>
      </c>
      <c r="K51" s="4">
        <f t="shared" si="15"/>
        <v>0</v>
      </c>
    </row>
    <row r="52" spans="1:11" x14ac:dyDescent="0.2">
      <c r="A52" s="4" t="s">
        <v>18</v>
      </c>
      <c r="B52" s="4" t="e">
        <f t="shared" si="16"/>
        <v>#REF!</v>
      </c>
      <c r="C52" s="4" t="e">
        <f t="shared" si="17"/>
        <v>#REF!</v>
      </c>
      <c r="D52" s="4">
        <f t="shared" si="18"/>
        <v>0</v>
      </c>
      <c r="E52" s="4">
        <f t="shared" si="19"/>
        <v>0</v>
      </c>
      <c r="F52" s="4">
        <f t="shared" si="11"/>
        <v>0</v>
      </c>
      <c r="G52" s="4">
        <f t="shared" si="20"/>
        <v>0</v>
      </c>
      <c r="H52" s="4">
        <f t="shared" si="12"/>
        <v>0</v>
      </c>
      <c r="I52" s="4">
        <f t="shared" si="13"/>
        <v>0</v>
      </c>
      <c r="J52" s="4">
        <f t="shared" si="14"/>
        <v>0</v>
      </c>
      <c r="K52" s="4">
        <f t="shared" si="15"/>
        <v>0</v>
      </c>
    </row>
    <row r="53" spans="1:11" x14ac:dyDescent="0.2">
      <c r="A53" s="4" t="s">
        <v>31</v>
      </c>
      <c r="B53" s="4" t="e">
        <f t="shared" si="16"/>
        <v>#REF!</v>
      </c>
      <c r="C53" s="4" t="e">
        <f t="shared" si="17"/>
        <v>#REF!</v>
      </c>
      <c r="D53" s="20">
        <f t="shared" si="18"/>
        <v>0</v>
      </c>
      <c r="E53" s="20">
        <f t="shared" si="19"/>
        <v>0</v>
      </c>
      <c r="F53" s="20">
        <f t="shared" si="11"/>
        <v>0</v>
      </c>
      <c r="G53" s="20">
        <f t="shared" si="20"/>
        <v>0</v>
      </c>
      <c r="H53" s="4">
        <f t="shared" si="12"/>
        <v>0</v>
      </c>
      <c r="I53" s="4">
        <f t="shared" si="13"/>
        <v>0</v>
      </c>
      <c r="J53" s="4">
        <f t="shared" si="14"/>
        <v>0</v>
      </c>
      <c r="K53" s="4">
        <f t="shared" si="15"/>
        <v>0</v>
      </c>
    </row>
    <row r="54" spans="1:11" x14ac:dyDescent="0.2">
      <c r="A54" s="4" t="s">
        <v>32</v>
      </c>
      <c r="B54" s="4" t="e">
        <f t="shared" si="16"/>
        <v>#REF!</v>
      </c>
      <c r="C54" s="4" t="e">
        <f t="shared" si="17"/>
        <v>#REF!</v>
      </c>
      <c r="D54" s="4">
        <f t="shared" si="18"/>
        <v>0</v>
      </c>
      <c r="E54" s="4">
        <f t="shared" si="19"/>
        <v>0</v>
      </c>
      <c r="F54" s="4">
        <f t="shared" si="11"/>
        <v>0</v>
      </c>
      <c r="G54" s="4">
        <f t="shared" si="20"/>
        <v>0</v>
      </c>
      <c r="H54" s="4">
        <f t="shared" si="12"/>
        <v>0</v>
      </c>
      <c r="I54" s="4">
        <f t="shared" si="13"/>
        <v>0</v>
      </c>
      <c r="J54" s="4">
        <f t="shared" si="14"/>
        <v>0</v>
      </c>
      <c r="K54" s="4">
        <f t="shared" si="15"/>
        <v>0</v>
      </c>
    </row>
    <row r="55" spans="1:11" x14ac:dyDescent="0.2">
      <c r="A55" s="4" t="s">
        <v>21</v>
      </c>
      <c r="B55" s="4" t="e">
        <f t="shared" si="16"/>
        <v>#REF!</v>
      </c>
      <c r="C55" s="4" t="e">
        <f t="shared" si="17"/>
        <v>#REF!</v>
      </c>
      <c r="D55" s="4">
        <f t="shared" si="18"/>
        <v>0</v>
      </c>
      <c r="E55" s="4">
        <f t="shared" si="19"/>
        <v>0</v>
      </c>
      <c r="F55" s="4">
        <f t="shared" si="11"/>
        <v>0</v>
      </c>
      <c r="G55" s="4">
        <f t="shared" si="20"/>
        <v>0</v>
      </c>
      <c r="H55" s="4">
        <f t="shared" si="12"/>
        <v>0</v>
      </c>
      <c r="I55" s="4">
        <f t="shared" si="13"/>
        <v>0</v>
      </c>
      <c r="J55" s="4">
        <f t="shared" si="14"/>
        <v>0</v>
      </c>
      <c r="K55" s="4">
        <f t="shared" si="15"/>
        <v>0</v>
      </c>
    </row>
    <row r="56" spans="1:11" x14ac:dyDescent="0.2">
      <c r="A56" s="4" t="s">
        <v>50</v>
      </c>
      <c r="B56" s="4">
        <f>B52</f>
        <v>0.183</v>
      </c>
      <c r="C56" s="4" t="e">
        <f t="shared" ref="C56:K56" si="21">C52</f>
        <v>#REF!</v>
      </c>
      <c r="D56" s="4">
        <f t="shared" si="21"/>
        <v>0</v>
      </c>
      <c r="E56" s="4">
        <f t="shared" si="21"/>
        <v>0</v>
      </c>
      <c r="F56" s="4">
        <f t="shared" si="21"/>
        <v>0</v>
      </c>
      <c r="G56" s="4">
        <f>G52</f>
        <v>0</v>
      </c>
      <c r="H56" s="4">
        <f t="shared" si="21"/>
        <v>0</v>
      </c>
      <c r="I56" s="4">
        <f t="shared" si="21"/>
        <v>0</v>
      </c>
      <c r="J56" s="4">
        <f t="shared" si="21"/>
        <v>0</v>
      </c>
      <c r="K56" s="4">
        <f t="shared" si="21"/>
        <v>0</v>
      </c>
    </row>
    <row r="58" spans="1:11" x14ac:dyDescent="0.2">
      <c r="A58" s="9" t="s">
        <v>51</v>
      </c>
      <c r="B58" s="11" t="s">
        <v>8</v>
      </c>
      <c r="C58" s="11" t="s">
        <v>9</v>
      </c>
      <c r="D58" s="11" t="s">
        <v>10</v>
      </c>
      <c r="E58" s="11" t="s">
        <v>23</v>
      </c>
      <c r="F58" s="11" t="s">
        <v>11</v>
      </c>
    </row>
    <row r="59" spans="1:11" x14ac:dyDescent="0.2">
      <c r="A59" s="4" t="s">
        <v>14</v>
      </c>
      <c r="B59" s="19" t="e">
        <f t="shared" ref="B59:B66" si="22">IF(B47&lt;&gt;C47,(B47*100)&amp;"/"&amp;C47*100,B47*100)</f>
        <v>#REF!</v>
      </c>
      <c r="C59" s="19" t="str">
        <f>IF(D4="","",(IF(D47&lt;&gt;E47,(D47*100)&amp;"/"&amp;E47*100,D47*100)))</f>
        <v/>
      </c>
      <c r="D59" s="19" t="str">
        <f>IF(E4="","",(IF(F47&lt;&gt;G47,(F47*100)&amp;"/"&amp;G47*100,F47*100)))</f>
        <v/>
      </c>
      <c r="E59" s="19" t="str">
        <f>IF(F4="","",(IF(H47&lt;&gt;I47,(H47*100)&amp;"/"&amp;I47*100,H47*100)))</f>
        <v/>
      </c>
      <c r="F59" s="19" t="str">
        <f>IF(G4="","",(IF(J47&lt;&gt;K47,(J47*100)&amp;"/"&amp;K47*100,J47*100)))</f>
        <v/>
      </c>
    </row>
    <row r="60" spans="1:11" x14ac:dyDescent="0.2">
      <c r="A60" s="4" t="s">
        <v>15</v>
      </c>
      <c r="B60" s="19" t="e">
        <f t="shared" si="22"/>
        <v>#REF!</v>
      </c>
      <c r="C60" s="19" t="str">
        <f>IF(D4="","",(IF(D48&lt;&gt;E48,(D48*100)&amp;"/"&amp;E48*100,D48*100)))</f>
        <v/>
      </c>
      <c r="D60" s="19" t="str">
        <f>IF(E4="","",(IF(F48&lt;&gt;G48,(F48*100)&amp;"/"&amp;G48*100,F48*100)))</f>
        <v/>
      </c>
      <c r="E60" s="19" t="str">
        <f>IF(F4="","",(IF(H48&lt;&gt;I48,(H48*100)&amp;"/"&amp;I48*100,H48*100)))</f>
        <v/>
      </c>
      <c r="F60" s="19" t="str">
        <f>IF(G4="","",(IF(J48&lt;&gt;K48,(J48*100)&amp;"/"&amp;K48*100,J48*100)))</f>
        <v/>
      </c>
    </row>
    <row r="61" spans="1:11" x14ac:dyDescent="0.2">
      <c r="A61" s="4" t="s">
        <v>29</v>
      </c>
      <c r="B61" s="19" t="e">
        <f t="shared" si="22"/>
        <v>#REF!</v>
      </c>
      <c r="C61" s="19" t="str">
        <f>IF(D4="","",(IF(D49&lt;&gt;E49,(D49*100)&amp;"/"&amp;E49*100,D49*100)))</f>
        <v/>
      </c>
      <c r="D61" s="19" t="str">
        <f>IF(E4="","",(IF(F49&lt;&gt;G49,(F49*100)&amp;"/"&amp;G49*100,F49*100)))</f>
        <v/>
      </c>
      <c r="E61" s="19" t="str">
        <f>IF(F4="","",(IF(H49&lt;&gt;I49,(H49*100)&amp;"/"&amp;I49*100,H49*100)))</f>
        <v/>
      </c>
      <c r="F61" s="19" t="str">
        <f>IF(G4="","",(IF(J49&lt;&gt;K49,(J49*100)&amp;"/"&amp;K49*100,J49*100)))</f>
        <v/>
      </c>
    </row>
    <row r="62" spans="1:11" x14ac:dyDescent="0.2">
      <c r="A62" s="4" t="s">
        <v>19</v>
      </c>
      <c r="B62" s="19" t="e">
        <f t="shared" si="22"/>
        <v>#REF!</v>
      </c>
      <c r="C62" s="19" t="str">
        <f>IF(D4="","",(IF(D50&lt;&gt;E50,(D50*100)&amp;"/"&amp;E50*100,D50*100)))</f>
        <v/>
      </c>
      <c r="D62" s="19" t="str">
        <f>IF(E4="","",(IF(F50&lt;&gt;G50,(F50*100)&amp;"/"&amp;G50*100,F50*100)))</f>
        <v/>
      </c>
      <c r="E62" s="19" t="str">
        <f>IF(F4="","",(IF(H50&lt;&gt;I50,(H50*100)&amp;"/"&amp;I50*100,H50*100)))</f>
        <v/>
      </c>
      <c r="F62" s="19" t="str">
        <f>IF(G4="","",(IF(J50&lt;&gt;K50,(J50*100)&amp;"/"&amp;K50*100,J50*100)))</f>
        <v/>
      </c>
    </row>
    <row r="63" spans="1:11" x14ac:dyDescent="0.2">
      <c r="A63" s="4" t="s">
        <v>30</v>
      </c>
      <c r="B63" s="19" t="e">
        <f t="shared" si="22"/>
        <v>#REF!</v>
      </c>
      <c r="C63" s="19" t="str">
        <f>IF(D4="","",(IF(D51&lt;&gt;E51,(D51*100)&amp;"/"&amp;E51*100,D51*100)))</f>
        <v/>
      </c>
      <c r="D63" s="19" t="str">
        <f>IF(E4="","",(IF(F51&lt;&gt;G51,(F51*100)&amp;"/"&amp;G51*100,F51*100)))</f>
        <v/>
      </c>
      <c r="E63" s="19" t="str">
        <f>IF(F4="","",(IF(H51&lt;&gt;I51,(H51*100)&amp;"/"&amp;I51*100,H51*100)))</f>
        <v/>
      </c>
      <c r="F63" s="19" t="str">
        <f>IF(G4="","",(IF(J51&lt;&gt;K51,(J51*100)&amp;"/"&amp;K51*100,J51*100)))</f>
        <v/>
      </c>
    </row>
    <row r="64" spans="1:11" x14ac:dyDescent="0.2">
      <c r="A64" s="4" t="s">
        <v>18</v>
      </c>
      <c r="B64" s="19" t="e">
        <f t="shared" si="22"/>
        <v>#REF!</v>
      </c>
      <c r="C64" s="19" t="str">
        <f>IF(D4="","",(IF(D4="","",(IF(D52&lt;&gt;E52,(D52*100)&amp;"/"&amp;E52*100,D52*100)))))</f>
        <v/>
      </c>
      <c r="D64" s="19" t="str">
        <f>IF(E4="","",(IF(F52&lt;&gt;G52,(F52*100)&amp;"/"&amp;G52*100,F52*100)))</f>
        <v/>
      </c>
      <c r="E64" s="19" t="str">
        <f>IF(F4="","",(IF(H52&lt;&gt;I52,(H52*100)&amp;"/"&amp;I52*100,H52*100)))</f>
        <v/>
      </c>
      <c r="F64" s="19" t="str">
        <f>IF(G4="","",(IF(J52&lt;&gt;K52,(J52*100)&amp;"/"&amp;K52*100,J52*100)))</f>
        <v/>
      </c>
    </row>
    <row r="65" spans="1:12" x14ac:dyDescent="0.2">
      <c r="A65" s="4" t="s">
        <v>31</v>
      </c>
      <c r="B65" s="19" t="e">
        <f t="shared" si="22"/>
        <v>#REF!</v>
      </c>
      <c r="C65" s="19" t="str">
        <f>IF(D4="","",(IF(D53&lt;&gt;E53,(D53*100)&amp;"/"&amp;E53*100,D53*100)))</f>
        <v/>
      </c>
      <c r="D65" s="19" t="str">
        <f>IF(E4="","",(IF(F53&lt;&gt;G53,(F53*100)&amp;"/"&amp;G53*100,F53*100)))</f>
        <v/>
      </c>
      <c r="E65" s="19" t="str">
        <f>IF(F4="","",(IF(H53&lt;&gt;I53,(H53*100)&amp;"/"&amp;I53*100,H53*100)))</f>
        <v/>
      </c>
      <c r="F65" s="19" t="str">
        <f>IF(G4="","",(IF(J53&lt;&gt;K53,(J53*100)&amp;"/"&amp;K53*100,J53*100)))</f>
        <v/>
      </c>
    </row>
    <row r="66" spans="1:12" x14ac:dyDescent="0.2">
      <c r="A66" s="4" t="s">
        <v>32</v>
      </c>
      <c r="B66" s="19" t="e">
        <f t="shared" si="22"/>
        <v>#REF!</v>
      </c>
      <c r="C66" s="19" t="str">
        <f>IF(D4="","",(IF(D54&lt;&gt;E54,(D54*100)&amp;"/"&amp;E54*100,D54*100)))</f>
        <v/>
      </c>
      <c r="D66" s="19" t="str">
        <f>IF(E4="","",(IF(F54&lt;&gt;G54,(F54*100)&amp;"/"&amp;G54*100,F54*100)))</f>
        <v/>
      </c>
      <c r="E66" s="19" t="str">
        <f>IF(F4="","",(IF(H54&lt;&gt;I54,(H54*100)&amp;"/"&amp;I54*100,H54*100)))</f>
        <v/>
      </c>
      <c r="F66" s="19" t="str">
        <f>IF(G4="","",(IF(J54&lt;&gt;K54,(J54*100)&amp;"/"&amp;K54*100,J54*100)))</f>
        <v/>
      </c>
    </row>
    <row r="67" spans="1:12" x14ac:dyDescent="0.2">
      <c r="A67" s="4" t="s">
        <v>21</v>
      </c>
      <c r="B67" s="19" t="e">
        <f>IF(B55&lt;&gt;C55,(B55*100)&amp;"/"&amp;C55*100,B55*100)</f>
        <v>#REF!</v>
      </c>
      <c r="C67" s="19" t="str">
        <f>IF(D4="","",(IF(D55&lt;&gt;E55,(D55*100)&amp;"/"&amp;E55*100,D55*100)))</f>
        <v/>
      </c>
      <c r="D67" s="19" t="str">
        <f>IF(E4="","",(IF(F55&lt;&gt;G55,(F55*100)&amp;"/"&amp;G55*100,F55*100)))</f>
        <v/>
      </c>
      <c r="E67" s="19" t="str">
        <f>IF(F4="","",(IF(H55&lt;&gt;I55,(H55*100)&amp;"/"&amp;I55*100,H55*100)))</f>
        <v/>
      </c>
      <c r="F67" s="19" t="str">
        <f>IF(G4="","",(IF(J55&lt;&gt;K55,(J55*100)&amp;"/"&amp;K55*100,J55*100)))</f>
        <v/>
      </c>
    </row>
    <row r="68" spans="1:12" x14ac:dyDescent="0.2">
      <c r="A68" s="4" t="s">
        <v>136</v>
      </c>
      <c r="B68" s="19" t="e">
        <f>IF(B56&lt;&gt;C56,(B56*100)&amp;"/"&amp;C56*100,B56*100)</f>
        <v>#REF!</v>
      </c>
      <c r="C68" s="19">
        <f>IF(D4=0,"",(IF(D56&lt;&gt;E56,(D56*100)&amp;"/"&amp;E56*100,D56*100)))</f>
        <v>0</v>
      </c>
      <c r="D68" s="19">
        <f>IF(E4=0,"",(IF(F56&lt;&gt;G56,(F56*100)&amp;"/"&amp;G56*100,F56*100)))</f>
        <v>0</v>
      </c>
      <c r="E68" s="19">
        <f>IF(F4=0,"",(IF(H56&lt;&gt;I56,(H56*100)&amp;"/"&amp;I56*100,H56*100)))</f>
        <v>0</v>
      </c>
      <c r="F68" s="19">
        <f>IF(G4=0,"",(IF(J56&lt;&gt;K56,(J56*100)&amp;"/"&amp;K56*100,J56*100)))</f>
        <v>0</v>
      </c>
    </row>
    <row r="69" spans="1:12" x14ac:dyDescent="0.2">
      <c r="A69" s="4" t="s">
        <v>137</v>
      </c>
      <c r="B69" s="107" t="e">
        <f>IF(C13&lt;=0.5,C56*100,B68)</f>
        <v>#REF!</v>
      </c>
      <c r="C69" s="107">
        <f>IF(D13&lt;=0.5,E56*100,C68)</f>
        <v>0</v>
      </c>
      <c r="D69" s="107">
        <f>IF(E13&lt;=0.5,G56*100,D68)</f>
        <v>0</v>
      </c>
      <c r="E69" s="107">
        <f>IF(F13&lt;=0.5,I56*100,E68)</f>
        <v>0</v>
      </c>
      <c r="F69" s="107">
        <f>IF(G13=0.5,K56*100,F68)</f>
        <v>0</v>
      </c>
    </row>
    <row r="70" spans="1:12" x14ac:dyDescent="0.2">
      <c r="A70" s="4" t="s">
        <v>138</v>
      </c>
      <c r="B70" s="107" t="e">
        <f>IF(C13=1,C56*100,B69)</f>
        <v>#REF!</v>
      </c>
      <c r="C70" s="107">
        <f>IF(D13=1,E56*100,C69)</f>
        <v>0</v>
      </c>
      <c r="D70" s="107">
        <f>IF(E13=1,G56*100,D69)</f>
        <v>0</v>
      </c>
      <c r="E70" s="107">
        <f>IF(F13=0.5,I56*100,E69)</f>
        <v>0</v>
      </c>
      <c r="F70" s="107">
        <f>IF(G13=1,K56*100,F68)</f>
        <v>0</v>
      </c>
    </row>
    <row r="71" spans="1:12" x14ac:dyDescent="0.2">
      <c r="A71" s="4" t="s">
        <v>51</v>
      </c>
      <c r="B71" s="19"/>
      <c r="C71" s="19"/>
      <c r="D71" s="19"/>
      <c r="E71" s="19"/>
      <c r="F71" s="19"/>
    </row>
    <row r="73" spans="1:12" x14ac:dyDescent="0.2">
      <c r="A73" s="2" t="s">
        <v>85</v>
      </c>
    </row>
    <row r="74" spans="1:12" x14ac:dyDescent="0.2">
      <c r="A74" s="9" t="s">
        <v>94</v>
      </c>
      <c r="B74" s="10" t="s">
        <v>33</v>
      </c>
      <c r="C74" s="10" t="s">
        <v>34</v>
      </c>
      <c r="D74" s="10" t="s">
        <v>43</v>
      </c>
      <c r="E74" s="10" t="s">
        <v>35</v>
      </c>
      <c r="F74" s="10" t="s">
        <v>36</v>
      </c>
      <c r="G74" s="10" t="s">
        <v>37</v>
      </c>
      <c r="H74" s="10" t="s">
        <v>38</v>
      </c>
      <c r="I74" s="10" t="s">
        <v>39</v>
      </c>
      <c r="J74" s="10" t="s">
        <v>40</v>
      </c>
      <c r="K74" s="10" t="s">
        <v>41</v>
      </c>
      <c r="L74" s="10" t="s">
        <v>42</v>
      </c>
    </row>
    <row r="75" spans="1:12" x14ac:dyDescent="0.2">
      <c r="A75" s="4" t="s">
        <v>86</v>
      </c>
      <c r="B75" s="4">
        <v>0.55500000000000005</v>
      </c>
      <c r="C75" s="4">
        <v>0.56499999999999995</v>
      </c>
      <c r="D75" s="4">
        <v>0.56999999999999995</v>
      </c>
      <c r="E75" s="4">
        <v>0.56999999999999995</v>
      </c>
      <c r="F75" s="4">
        <v>0.56999999999999995</v>
      </c>
      <c r="G75" s="4">
        <v>0.56999999999999995</v>
      </c>
      <c r="H75" s="4">
        <v>0.56999999999999995</v>
      </c>
      <c r="I75" s="4">
        <v>0.56999999999999995</v>
      </c>
      <c r="J75" s="4">
        <v>0.56999999999999995</v>
      </c>
      <c r="K75" s="4">
        <v>0.56999999999999995</v>
      </c>
      <c r="L75" s="4">
        <v>0.56999999999999995</v>
      </c>
    </row>
    <row r="76" spans="1:12" x14ac:dyDescent="0.2">
      <c r="A76" s="4" t="s">
        <v>87</v>
      </c>
      <c r="B76" s="4">
        <v>0.26</v>
      </c>
      <c r="C76" s="4">
        <v>0.26</v>
      </c>
      <c r="D76" s="4">
        <v>0.26</v>
      </c>
      <c r="E76" s="4">
        <v>0.26</v>
      </c>
      <c r="F76" s="4">
        <v>0.26</v>
      </c>
      <c r="G76" s="4">
        <v>0.26</v>
      </c>
      <c r="H76" s="4">
        <v>0.26</v>
      </c>
      <c r="I76" s="4">
        <v>0.26</v>
      </c>
      <c r="J76" s="4">
        <v>0.26</v>
      </c>
      <c r="K76" s="4">
        <v>0.26</v>
      </c>
      <c r="L76" s="4">
        <v>0.26</v>
      </c>
    </row>
    <row r="77" spans="1:12" x14ac:dyDescent="0.2">
      <c r="A77" s="4" t="s">
        <v>88</v>
      </c>
      <c r="B77" s="4">
        <v>0.38</v>
      </c>
      <c r="C77" s="4">
        <v>0.38500000000000001</v>
      </c>
      <c r="D77" s="4">
        <v>0.39</v>
      </c>
      <c r="E77" s="4">
        <v>0.39</v>
      </c>
      <c r="F77" s="4">
        <v>0.39</v>
      </c>
      <c r="G77" s="4">
        <v>0.39</v>
      </c>
      <c r="H77" s="4">
        <v>0.39</v>
      </c>
      <c r="I77" s="4">
        <v>0.39</v>
      </c>
      <c r="J77" s="4">
        <v>0.39</v>
      </c>
      <c r="K77" s="4">
        <v>0.39</v>
      </c>
      <c r="L77" s="4">
        <v>0.39</v>
      </c>
    </row>
    <row r="78" spans="1:12" x14ac:dyDescent="0.2">
      <c r="A78" s="4" t="s">
        <v>89</v>
      </c>
      <c r="B78" s="4">
        <v>0.245</v>
      </c>
      <c r="C78" s="4">
        <v>0.245</v>
      </c>
      <c r="D78" s="4">
        <v>0.25</v>
      </c>
      <c r="E78" s="4">
        <v>0.25</v>
      </c>
      <c r="F78" s="4">
        <v>0.25</v>
      </c>
      <c r="G78" s="4">
        <v>0.25</v>
      </c>
      <c r="H78" s="4">
        <v>0.25</v>
      </c>
      <c r="I78" s="4">
        <v>0.25</v>
      </c>
      <c r="J78" s="4">
        <v>0.25</v>
      </c>
      <c r="K78" s="4">
        <v>0.25</v>
      </c>
      <c r="L78" s="4">
        <v>0.25</v>
      </c>
    </row>
    <row r="79" spans="1:12" x14ac:dyDescent="0.2">
      <c r="A79" s="4" t="s">
        <v>90</v>
      </c>
      <c r="B79" s="4">
        <v>0.5</v>
      </c>
      <c r="C79" s="4">
        <v>0.5</v>
      </c>
      <c r="D79" s="4">
        <v>0.5</v>
      </c>
      <c r="E79" s="4">
        <v>0.5</v>
      </c>
      <c r="F79" s="4">
        <v>0.5</v>
      </c>
      <c r="G79" s="4">
        <v>0.5</v>
      </c>
      <c r="H79" s="4">
        <v>0.5</v>
      </c>
      <c r="I79" s="4">
        <v>0.5</v>
      </c>
      <c r="J79" s="4">
        <v>0.5</v>
      </c>
      <c r="K79" s="4">
        <v>0.5</v>
      </c>
      <c r="L79" s="4">
        <v>0.5</v>
      </c>
    </row>
    <row r="80" spans="1:12" x14ac:dyDescent="0.2">
      <c r="A80" s="4" t="s">
        <v>91</v>
      </c>
      <c r="B80" s="4">
        <v>0.54400000000000004</v>
      </c>
      <c r="C80" s="4">
        <v>0.54400000000000004</v>
      </c>
      <c r="D80" s="4">
        <v>0.54400000000000004</v>
      </c>
      <c r="E80" s="4">
        <v>0.54400000000000004</v>
      </c>
      <c r="F80" s="4">
        <v>0.54400000000000004</v>
      </c>
      <c r="G80" s="4">
        <v>0.54400000000000004</v>
      </c>
      <c r="H80" s="4">
        <v>0.54400000000000004</v>
      </c>
      <c r="I80" s="4">
        <v>0.54400000000000004</v>
      </c>
      <c r="J80" s="4">
        <v>0.54400000000000004</v>
      </c>
      <c r="K80" s="4">
        <v>0.54400000000000004</v>
      </c>
      <c r="L80" s="4">
        <v>0.54400000000000004</v>
      </c>
    </row>
    <row r="81" spans="1:12" x14ac:dyDescent="0.2">
      <c r="A81" s="4" t="s">
        <v>92</v>
      </c>
      <c r="B81" s="4">
        <v>0.89</v>
      </c>
      <c r="C81" s="4">
        <v>0.89</v>
      </c>
      <c r="D81" s="4">
        <v>0.89</v>
      </c>
      <c r="E81" s="4">
        <v>0.89</v>
      </c>
      <c r="F81" s="4">
        <v>0.89</v>
      </c>
      <c r="G81" s="4">
        <v>0.89</v>
      </c>
      <c r="H81" s="4">
        <v>0.89</v>
      </c>
      <c r="I81" s="4">
        <v>0.89</v>
      </c>
      <c r="J81" s="4">
        <v>0.89</v>
      </c>
      <c r="K81" s="4">
        <v>0.89</v>
      </c>
      <c r="L81" s="4">
        <v>0.89</v>
      </c>
    </row>
    <row r="82" spans="1:12" x14ac:dyDescent="0.2">
      <c r="A82" s="4" t="s">
        <v>93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4" spans="1:12" x14ac:dyDescent="0.2">
      <c r="A84" s="9" t="s">
        <v>94</v>
      </c>
      <c r="B84" s="222" t="s">
        <v>8</v>
      </c>
      <c r="C84" s="223"/>
      <c r="D84" s="222" t="s">
        <v>9</v>
      </c>
      <c r="E84" s="223"/>
      <c r="F84" s="222" t="s">
        <v>10</v>
      </c>
      <c r="G84" s="223"/>
      <c r="H84" s="222" t="s">
        <v>23</v>
      </c>
      <c r="I84" s="223"/>
      <c r="J84" s="222" t="s">
        <v>11</v>
      </c>
      <c r="K84" s="223"/>
    </row>
    <row r="85" spans="1:12" x14ac:dyDescent="0.2">
      <c r="A85" s="9"/>
      <c r="B85" s="11" t="s">
        <v>45</v>
      </c>
      <c r="C85" s="11" t="s">
        <v>46</v>
      </c>
      <c r="D85" s="11" t="s">
        <v>45</v>
      </c>
      <c r="E85" s="11" t="s">
        <v>46</v>
      </c>
      <c r="F85" s="11" t="s">
        <v>45</v>
      </c>
      <c r="G85" s="11" t="s">
        <v>46</v>
      </c>
      <c r="H85" s="11" t="s">
        <v>45</v>
      </c>
      <c r="I85" s="11" t="s">
        <v>46</v>
      </c>
      <c r="J85" s="11" t="s">
        <v>45</v>
      </c>
      <c r="K85" s="11" t="s">
        <v>46</v>
      </c>
    </row>
    <row r="86" spans="1:12" x14ac:dyDescent="0.2">
      <c r="A86" s="4" t="s">
        <v>86</v>
      </c>
      <c r="B86" s="4">
        <f>IF($C$4=$B$74,$B$75,IF($C$4=$C$74,$C$75,IF($C$4=$D$74,$D$75,IF($C$4=$E$74,$E$75,IF($C$4=$F$74,$F$75,IF($C$4=$G$74,$G$75,IF($C$4=$H$74,$H$75,IF($C$4=$I$74,$I$75,IF($C$4=$J$74,$J$75,IF($C$4=$K$74,$K$75,IF($C$4=$L$74,$L$75,L75)))))))))))</f>
        <v>0.56999999999999995</v>
      </c>
      <c r="C86" s="4">
        <f>IF($C$7=0,$B$86,IF($C$4=$B$74,$C$75,IF($C$4=$C$74,$D$75,IF($C$4=$D$74,$E$75,IF($C$4=$E$74,$F$75,IF($C$4=$F$74,$G$75,IF($C$4=$G$74,$H$75,IF($C$4=$H$74,$I$75,IF($C$4=$I$74,$J$75,IF($C$4=$J$74,$K$75,IF($C$4=$K$74,$L$75,IF($C$4=$L$74,$L$75,$L$75))))))))))))</f>
        <v>0.56999999999999995</v>
      </c>
      <c r="D86" s="4">
        <f>IF($D$4=$B$74,$B$75,IF($D$4=$C$74,$C$75,IF($D$4=$D$74,$D$75,IF($D$4=$E$74,$E$75,IF($D$4=$F$74,$F$75,IF($D$4=$G$74,$G$75,IF($D$4=$H$74,$H$75,IF($D$4=$I$74,$I$75,IF($D$4=$J$74,$J$75,IF($D$4=$K$74,$K$75,IF($D$4=$L$74,$L$75,L75)))))))))))</f>
        <v>0.56999999999999995</v>
      </c>
      <c r="E86" s="4">
        <f>IF($D$7=0,$D$86,IF($D$4=$B$74,$C$75,IF($D$4=$C$74,$D$75,IF($D$4=$D$74,$E$75,IF($D$4=$E$74,$F$75,IF($D$4=$F$74,$G$75,IF($D$4=$G$74,$H$75,IF($D$4=$H$74,$I$75,IF($D$4=$I$74,$J$75,IF($D$4=$J$74,$K$75,IF($D$4=$K$74,$L$75,IF($D$4=$L$74,$L$75,L75))))))))))))</f>
        <v>0.56999999999999995</v>
      </c>
      <c r="F86" s="4">
        <f>IF($E$4=$B$74,$B$75,IF($E$4=$C$74,$C$75,IF($E$4=$D$74,$D$75,IF($E$4=$E$74,$E$75,IF($E$4=$F$74,$F$75,IF($E$4=$G$74,$G$75,IF($E$4=$H$74,$H$75,IF($E$4=$I$74,$I$75,IF($E$4=$J$74,$J$75,IF($E$4=$K$74,$K$75,IF($E$4=$L$74,$L$75,L75)))))))))))</f>
        <v>0.56999999999999995</v>
      </c>
      <c r="G86" s="4">
        <f>IF($E$7=0,$F$86,IF($E$4=$B$74,$C$75,IF($E$4=$C$74,$D$75,IF($E$4=$D$74,$E$75,IF($E$4=$E$74,$F$75,IF($E$4=$F$74,$G$75,IF($E$4=$G$74,$H$75,IF($E$4=$H$74,$I$75,IF($E$4=$I$74,$J$75,IF($E$4=$J$74,$K$75,IF($E$4=$K$74,$L$75,IF($E$4=$L$74,$L$75,L75))))))))))))</f>
        <v>0.56999999999999995</v>
      </c>
      <c r="H86" s="4">
        <f>IF($F$4=$B$74,$B$75,IF($F$4=$C$74,$C$75,IF($F$4=$D$74,$D$75,IF($F$4=$E$74,$E$75,IF($F$4=$F$74,$F$75,IF($F$4=$G$74,$G$75,IF($F$4=$H$74,$H$75,IF($F$4=$I$74,$I$75,IF($F$4=$J$74,$J$75,IF($F$4=$K$74,$K$75,IF($F$4=$L$74,$L$75,L75)))))))))))</f>
        <v>0.56999999999999995</v>
      </c>
      <c r="I86" s="4">
        <f>IF($F$7=0,$H$86,IF($F$4=$B$74,$C$75,IF($F$4=$C$74,$D$75,IF($F$4=$D$74,$E$75,IF($F$4=$E$74,$F$75,IF($F$4=$F$74,$G$75,IF($F$4=$G$74,$H$75,IF($F$4=$H$74,$I$75,IF($F$4=$I$74,$J$75,IF($F$4=$J$74,$K$75,IF($F$4=$K$74,$L$75,IF($F$4=$L$74,$L$75,L75))))))))))))</f>
        <v>0.56999999999999995</v>
      </c>
      <c r="J86" s="4">
        <f>IF($G$4=$B$74,$B$75,IF($G$4=$C$74,$C$75,IF($G$4=$D$74,$D$75,IF($G$4=$E$74,$E$75,IF($G$4=$F$74,$F$75,IF($G$4=$G$74,$G$75,IF($G$4=$H$74,$H$75,IF($G$4=$I$74,$I$75,IF($G$4=$J$74,$J$75,IF($G$4=$K$74,$K$75,IF($G$4=$L$74,$L$75,L75)))))))))))</f>
        <v>0.56999999999999995</v>
      </c>
      <c r="K86" s="4">
        <f>IF($G$7=0,$J$86,IF($G$4=$B$74,$C$75,IF($G$4=$C$74,$D$75,IF($G$4=$D$74,$E$75,IF($G$4=$E$74,$F$75,IF($G$4=$F$74,$G$75,IF($G$4=$G$74,$H$75,IF($G$4=$H$74,$I$75,IF($G$4=$I$74,$J$75,IF($G$4=$J$74,$K$75,IF($G$4=$K$74,$L$75,IF($G$4=$L$74,$L$75,L75))))))))))))</f>
        <v>0.56999999999999995</v>
      </c>
    </row>
    <row r="87" spans="1:12" x14ac:dyDescent="0.2">
      <c r="A87" s="4" t="s">
        <v>87</v>
      </c>
      <c r="B87" s="4">
        <v>0.26</v>
      </c>
      <c r="C87" s="4">
        <v>0.26</v>
      </c>
      <c r="D87" s="4">
        <v>0.26</v>
      </c>
      <c r="E87" s="4">
        <v>0.26</v>
      </c>
      <c r="F87" s="4">
        <v>0.26</v>
      </c>
      <c r="G87" s="4">
        <v>0.26</v>
      </c>
      <c r="H87" s="4">
        <v>0.26</v>
      </c>
      <c r="I87" s="4">
        <v>0.26</v>
      </c>
      <c r="J87" s="4">
        <v>0.26</v>
      </c>
      <c r="K87" s="4">
        <v>0.26</v>
      </c>
    </row>
    <row r="88" spans="1:12" x14ac:dyDescent="0.2">
      <c r="A88" s="4" t="s">
        <v>88</v>
      </c>
      <c r="B88" s="4">
        <f>IF($C$4=$B$74,$B$77,IF($C$4=$C$74,$C$77,IF($C$4=$D$74,$D$77,IF($C$4=$E$74,$E$77,IF($C$4=$F$74,$F$77,IF($C$4=$G$74,$G$77,IF($C$4=$H$74,$H$77,IF($C$4=$I$74,$I$77,IF($C$4=$J$74,$J$77,IF($C$4=$K$74,$K$77,IF($C$4=$L$74,$L$77,L77)))))))))))</f>
        <v>0.39</v>
      </c>
      <c r="C88" s="4">
        <f>IF($C$7=0,$B$88,IF($C$4=$B$74,$C$77,IF($C$4=$C$74,$D$77,IF($C$4=$D$74,$E$77,IF($C$4=$E$74,$F$77,IF($C$4=$F$74,$G$77,IF($C$4=$G$74,$H$77,IF($C$4=$H$74,$I$77,IF($C$4=$I$74,$J$77,IF($C$4=$J$74,$K$77,IF($C$4=$K$74,$L$77,IF($C$4=$L$74,$L$77,$L$77))))))))))))</f>
        <v>0.39</v>
      </c>
      <c r="D88" s="4">
        <f>IF($D$4=$B$74,$B$77,IF($D$4=$C$74,$C$77,IF($D$4=$D$74,$D$77,IF($D$4=$E$74,$E$77,IF($D$4=$F$74,$F$77,IF($D$4=$G$74,$G$77,IF($D$4=$H$74,$H$77,IF($D$4=$I$74,$I$77,IF($D$4=$J$74,$J$77,IF($D$4=$K$74,$K$77,IF($D$4=$L$74,$L$75,L77)))))))))))</f>
        <v>0.39</v>
      </c>
      <c r="E88" s="4">
        <f>IF($D$7=0,$D$88,IF($D$4=$B$74,$C$77,IF($D$4=$C$74,$D$77,IF($D$4=$D$74,$E$77,IF($D$4=$E$74,$F$77,IF($D$4=$F$74,$G$77,IF($D$4=$G$74,$H$77,IF($D$4=$H$74,$I$77,IF($D$4=$I$74,$J$77,IF($D$4=$J$74,$K$77,IF($D$4=$K$74,$L$77,IF($D$4=$L$74,$L$77,L77))))))))))))</f>
        <v>0.39</v>
      </c>
      <c r="F88" s="4">
        <f>IF($E$4=$B$74,$B$77,IF($E$4=$C$74,$C$77,IF($E$4=$D$74,$D$77,IF($E$4=$E$74,$E$77,IF($E$4=$F$74,$F$77,IF($E$4=$G$74,$G$77,IF($E$4=$H$74,$H$77,IF($E$4=$I$74,$I$77,IF($E$4=$J$74,$J$77,IF($E$4=$K$74,$K$77,IF($E$4=$L$74,$L$77,L77)))))))))))</f>
        <v>0.39</v>
      </c>
      <c r="G88" s="4">
        <f>IF($E$7=0,$F$88,IF($E$4=$B$74,$C$77,IF($E$4=$C$74,$D$77,IF($E$4=$D$74,$E$77,IF($E$4=$E$74,$F$77,IF($E$4=$F$74,$G$77,IF($E$4=$G$74,$H$77,IF($E$4=$H$74,$I$77,IF($E$4=$I$74,$J$77,IF($E$4=$J$74,$K$77,IF($E$4=$K$74,$L$77,IF($E$4=$L$74,$L$77,L77))))))))))))</f>
        <v>0.39</v>
      </c>
      <c r="H88" s="4">
        <f>IF($F$4=$B$74,$B$77,IF($F$4=$C$74,$C$77,IF($F$4=$D$74,$D$77,IF($F$4=$E$74,$E$77,IF($F$4=$F$74,$F$77,IF($F$4=$G$74,$G$77,IF($F$4=$H$74,$H$77,IF($F$4=$I$74,$I$77,IF($F$4=$J$74,$J$77,IF($F$4=$K$74,$K$77,IF($F$4=$L$74,$L$77,L77)))))))))))</f>
        <v>0.39</v>
      </c>
      <c r="I88" s="4">
        <f>IF($F$7=0,$H$88,IF($F$4=$B$74,$C$77,IF($F$4=$C$74,$D$77,IF($F$4=$D$74,$E$77,IF($F$4=$E$74,$F$77,IF($F$4=$F$74,$G$77,IF($F$4=$G$74,$H$77,IF($F$4=$H$74,$I$77,IF($F$4=$I$74,$J$77,IF($F$4=$J$74,$K$77,IF($F$4=$K$74,$L$77,IF($F$4=$L$74,$L$77,L77))))))))))))</f>
        <v>0.39</v>
      </c>
      <c r="J88" s="4">
        <f>IF($G$4=$B$74,$B$77,IF($G$4=$C$74,$C$77,IF($G$4=$D$74,$D$77,IF($G$4=$E$74,$E$77,IF($G$4=$F$74,$F$77,IF($G$4=$G$74,$G$77,IF($G$4=$H$74,$H$77,IF($G$4=$I$74,$I$77,IF($G$4=$J$74,$J$77,IF($G$4=$K$74,$K$77,IF($G$4=$L$74,$L$75,L77)))))))))))</f>
        <v>0.39</v>
      </c>
      <c r="K88" s="4">
        <f>IF($G$7=0,$J$88,IF($G$4=$B$74,$C$77,IF($G$4=$C$74,$D$77,IF($G$4=$D$74,$E$77,IF($G$4=$E$74,$F$77,IF($G$4=$F$74,$G$77,IF($G$4=$G$74,$H$77,IF($G$4=$H$74,$I$77,IF($G$4=$I$74,$J$77,IF($G$4=$J$74,$K$77,IF($G$4=$K$74,$L$77,IF($G$4=$L$74,$L$77,L77))))))))))))</f>
        <v>0.39</v>
      </c>
    </row>
    <row r="89" spans="1:12" x14ac:dyDescent="0.2">
      <c r="A89" s="4" t="s">
        <v>89</v>
      </c>
      <c r="B89" s="4">
        <f>IF($C$4=$B$74,$B$78,IF($C$4=$C$74,$C$78,$D$78))</f>
        <v>0.25</v>
      </c>
      <c r="C89" s="4">
        <f>IF($C$7=0,$B$89,IF($C$4=$B$74,$C$78,$D$78))</f>
        <v>0.25</v>
      </c>
      <c r="D89" s="4">
        <f>IF($D$4=$B$74,$B$78,IF($D$4=$C$74,$C$78,$D$78))</f>
        <v>0.25</v>
      </c>
      <c r="E89" s="4">
        <f>IF($D$7=0,$D$89,IF($D$4=$B$74,$C$78,$D$78))</f>
        <v>0.25</v>
      </c>
      <c r="F89" s="4">
        <f>IF($E$4=$B$74,$B$78,IF($E$4=$C$74,$C$78,$D$78))</f>
        <v>0.25</v>
      </c>
      <c r="G89" s="4">
        <f>IF($E$7=0,$F$89,IF($E$4=$B$74,$C$78,$D$78))</f>
        <v>0.25</v>
      </c>
      <c r="H89" s="4">
        <f>IF($F$4=$B$74,$B$78,IF($F$4=$C$74,$C$78,$D$78))</f>
        <v>0.25</v>
      </c>
      <c r="I89" s="4">
        <f>IF($F$7=0,$H$89,IF($F$4=$B$74,$C$78,$D$78))</f>
        <v>0.25</v>
      </c>
      <c r="J89" s="4">
        <f>IF($G$4=$B$74,$B$78,IF($G$4=$C$74,$C$78,$D$78))</f>
        <v>0.25</v>
      </c>
      <c r="K89" s="4">
        <f>IF($G$7=0,$J$89,IF($G$4=$B$74,$C$78,$D$78))</f>
        <v>0.25</v>
      </c>
    </row>
    <row r="90" spans="1:12" x14ac:dyDescent="0.2">
      <c r="A90" s="4" t="s">
        <v>90</v>
      </c>
      <c r="B90" s="4">
        <v>0.5</v>
      </c>
      <c r="C90" s="4">
        <v>0.5</v>
      </c>
      <c r="D90" s="4">
        <v>0.5</v>
      </c>
      <c r="E90" s="4">
        <v>0.5</v>
      </c>
      <c r="F90" s="4">
        <v>0.5</v>
      </c>
      <c r="G90" s="4">
        <v>0.5</v>
      </c>
      <c r="H90" s="4">
        <v>0.5</v>
      </c>
      <c r="I90" s="4">
        <v>0.5</v>
      </c>
      <c r="J90" s="4">
        <v>0.5</v>
      </c>
      <c r="K90" s="4">
        <v>0.5</v>
      </c>
    </row>
    <row r="91" spans="1:12" x14ac:dyDescent="0.2">
      <c r="A91" s="4" t="s">
        <v>97</v>
      </c>
      <c r="B91" s="26">
        <f>Request!$L$199</f>
        <v>0</v>
      </c>
      <c r="C91" s="26">
        <f>Request!$L$199</f>
        <v>0</v>
      </c>
      <c r="D91" s="26">
        <f>Request!$L$199</f>
        <v>0</v>
      </c>
      <c r="E91" s="26">
        <f>Request!$L$199</f>
        <v>0</v>
      </c>
      <c r="F91" s="26">
        <f>Request!$L$199</f>
        <v>0</v>
      </c>
      <c r="G91" s="26">
        <f>Request!$L$199</f>
        <v>0</v>
      </c>
      <c r="H91" s="26">
        <f>Request!$L$199</f>
        <v>0</v>
      </c>
      <c r="I91" s="26">
        <f>Request!$L$199</f>
        <v>0</v>
      </c>
      <c r="J91" s="26">
        <f>Request!$L$199</f>
        <v>0</v>
      </c>
      <c r="K91" s="26">
        <f>Request!$L$199</f>
        <v>0</v>
      </c>
    </row>
    <row r="92" spans="1:12" x14ac:dyDescent="0.2">
      <c r="A92" s="4" t="s">
        <v>91</v>
      </c>
      <c r="B92" s="4">
        <v>0.54400000000000004</v>
      </c>
      <c r="C92" s="4">
        <v>0.54400000000000004</v>
      </c>
      <c r="D92" s="4">
        <v>0.54400000000000004</v>
      </c>
      <c r="E92" s="4">
        <v>0.54400000000000004</v>
      </c>
      <c r="F92" s="4">
        <v>0.54400000000000004</v>
      </c>
      <c r="G92" s="4">
        <v>0.54400000000000004</v>
      </c>
      <c r="H92" s="4">
        <v>0.54400000000000004</v>
      </c>
      <c r="I92" s="4">
        <v>0.54400000000000004</v>
      </c>
      <c r="J92" s="4">
        <v>0.54400000000000004</v>
      </c>
      <c r="K92" s="4">
        <v>0.54400000000000004</v>
      </c>
    </row>
    <row r="93" spans="1:12" x14ac:dyDescent="0.2">
      <c r="A93" s="4" t="s">
        <v>92</v>
      </c>
      <c r="B93" s="4">
        <v>0.89</v>
      </c>
      <c r="C93" s="4">
        <v>0.89</v>
      </c>
      <c r="D93" s="4">
        <v>0.89</v>
      </c>
      <c r="E93" s="4">
        <v>0.89</v>
      </c>
      <c r="F93" s="4">
        <v>0.89</v>
      </c>
      <c r="G93" s="4">
        <v>0.89</v>
      </c>
      <c r="H93" s="4">
        <v>0.89</v>
      </c>
      <c r="I93" s="4">
        <v>0.89</v>
      </c>
      <c r="J93" s="4">
        <v>0.89</v>
      </c>
      <c r="K93" s="4">
        <v>0.89</v>
      </c>
    </row>
    <row r="95" spans="1:12" x14ac:dyDescent="0.2">
      <c r="A95" s="1" t="s">
        <v>104</v>
      </c>
      <c r="B95" s="222" t="s">
        <v>8</v>
      </c>
      <c r="C95" s="223"/>
      <c r="D95" s="222" t="s">
        <v>9</v>
      </c>
      <c r="E95" s="223"/>
      <c r="F95" s="222" t="s">
        <v>10</v>
      </c>
      <c r="G95" s="223"/>
      <c r="H95" s="222" t="s">
        <v>23</v>
      </c>
      <c r="I95" s="223"/>
      <c r="J95" s="222" t="s">
        <v>11</v>
      </c>
      <c r="K95" s="223"/>
    </row>
    <row r="96" spans="1:12" x14ac:dyDescent="0.2">
      <c r="B96" s="11" t="s">
        <v>45</v>
      </c>
      <c r="C96" s="11" t="s">
        <v>46</v>
      </c>
      <c r="D96" s="11" t="s">
        <v>45</v>
      </c>
      <c r="E96" s="11" t="s">
        <v>46</v>
      </c>
      <c r="F96" s="11" t="s">
        <v>45</v>
      </c>
      <c r="G96" s="11" t="s">
        <v>46</v>
      </c>
      <c r="H96" s="11" t="s">
        <v>45</v>
      </c>
      <c r="I96" s="11" t="s">
        <v>46</v>
      </c>
      <c r="J96" s="11" t="s">
        <v>45</v>
      </c>
      <c r="K96" s="11" t="s">
        <v>46</v>
      </c>
    </row>
    <row r="97" spans="1:11" x14ac:dyDescent="0.2">
      <c r="B97" s="113">
        <f>IF(Request!F197=Worksheet!A86,Worksheet!B86,IF(Request!F197=Worksheet!A87,Worksheet!B87,IF(Request!F197=Worksheet!A88,Worksheet!B88,IF(Request!F197=Worksheet!A89,Worksheet!B89,IF(Request!F197=Worksheet!A90,Worksheet!B90,IF(Request!F197=Worksheet!A91,Worksheet!B91))))))</f>
        <v>0.56999999999999995</v>
      </c>
      <c r="C97" s="37">
        <f>IF(Request!F197=Worksheet!A86,Worksheet!C86,IF(Request!F197=Worksheet!A87,Worksheet!C87,IF(Request!F197=Worksheet!A88,Worksheet!C88,IF(Request!F197=Worksheet!A89,Worksheet!C89,IF(Request!F197=Worksheet!A90,Worksheet!C90,IF(Request!F197=Worksheet!A91,Worksheet!C91))))))</f>
        <v>0.56999999999999995</v>
      </c>
      <c r="D97" s="37">
        <f>IF(Request!$F$197=Worksheet!$A$86,Worksheet!D86,IF(Request!$F$197=Worksheet!$A$87,Worksheet!D87,IF(Request!$F$197=Worksheet!$A$88,Worksheet!D88,IF(Request!$F$197=Worksheet!$A$89,Worksheet!D89,IF(Request!$F$197=Worksheet!$A$90,Worksheet!D90,IF(Request!$F$197=Worksheet!$A$91,Worksheet!D91))))))</f>
        <v>0.56999999999999995</v>
      </c>
      <c r="E97" s="37">
        <f>IF(Request!$F$197=Worksheet!$A$86,Worksheet!E86,IF(Request!$F$197=Worksheet!$A$87,Worksheet!E87,IF(Request!$F$197=Worksheet!$A$88,Worksheet!E88,IF(Request!$F$197=Worksheet!$A$89,Worksheet!E89,IF(Request!$F$197=Worksheet!$A$90,Worksheet!E90,IF(Request!$F$197=Worksheet!$A$91,Worksheet!E91))))))</f>
        <v>0.56999999999999995</v>
      </c>
      <c r="F97" s="37">
        <f>IF(Request!$F$197=Worksheet!$A$86,Worksheet!F86,IF(Request!$F$197=Worksheet!$A$87,Worksheet!F87,IF(Request!$F$197=Worksheet!$A$88,Worksheet!F88,IF(Request!$F$197=Worksheet!$A$89,Worksheet!F89,IF(Request!$F$197=Worksheet!$A$90,Worksheet!F90,IF(Request!$F$197=Worksheet!$A$91,Worksheet!F91))))))</f>
        <v>0.56999999999999995</v>
      </c>
      <c r="G97" s="37">
        <f>IF(Request!$F$197=Worksheet!$A$86,Worksheet!G86,IF(Request!$F$197=Worksheet!$A$87,Worksheet!G87,IF(Request!$F$197=Worksheet!$A$88,Worksheet!G88,IF(Request!$F$197=Worksheet!$A$89,Worksheet!G89,IF(Request!$F$197=Worksheet!$A$90,Worksheet!G90,IF(Request!$F$197=Worksheet!$A$91,Worksheet!G91))))))</f>
        <v>0.56999999999999995</v>
      </c>
      <c r="H97" s="37">
        <f>IF(Request!$F$197=Worksheet!$A$86,Worksheet!H86,IF(Request!$F$197=Worksheet!$A$87,Worksheet!H87,IF(Request!$F$197=Worksheet!$A$88,Worksheet!H88,IF(Request!$F$197=Worksheet!$A$89,Worksheet!H89,IF(Request!$F$197=Worksheet!$A$90,Worksheet!H90,IF(Request!$F$197=Worksheet!$A$91,Worksheet!H91))))))</f>
        <v>0.56999999999999995</v>
      </c>
      <c r="I97" s="37">
        <f>IF(Request!$F$197=Worksheet!$A$86,Worksheet!I86,IF(Request!$F$197=Worksheet!$A$87,Worksheet!I87,IF(Request!$F$197=Worksheet!$A$88,Worksheet!I88,IF(Request!$F$197=Worksheet!$A$89,Worksheet!I89,IF(Request!$F$197=Worksheet!$A$90,Worksheet!I90,IF(Request!$F$197=Worksheet!$A$91,Worksheet!I91))))))</f>
        <v>0.56999999999999995</v>
      </c>
      <c r="J97" s="37">
        <f>IF(Request!$F$197=Worksheet!$A$86,Worksheet!J86,IF(Request!$F$197=Worksheet!$A$87,Worksheet!J87,IF(Request!$F$197=Worksheet!$A$88,Worksheet!J88,IF(Request!$F$197=Worksheet!$A$89,Worksheet!J89,IF(Request!$F$197=Worksheet!$A$90,Worksheet!J90,IF(Request!$F$197=Worksheet!$A$91,Worksheet!J91))))))</f>
        <v>0.56999999999999995</v>
      </c>
      <c r="K97" s="37">
        <f>IF(Request!$F$197=Worksheet!$A$86,Worksheet!K86,IF(Request!$F$197=Worksheet!$A$87,Worksheet!K87,IF(Request!$F$197=Worksheet!$A$88,Worksheet!K88,IF(Request!$F$197=Worksheet!$A$89,Worksheet!K89,IF(Request!$F$197=Worksheet!$A$90,Worksheet!K90,IF(Request!$F$197=Worksheet!$A$91,Worksheet!K91))))))</f>
        <v>0.56999999999999995</v>
      </c>
    </row>
    <row r="98" spans="1:11" x14ac:dyDescent="0.2">
      <c r="A98" s="1" t="s">
        <v>105</v>
      </c>
      <c r="B98" s="226" t="s">
        <v>8</v>
      </c>
      <c r="C98" s="226"/>
      <c r="D98" s="226" t="s">
        <v>9</v>
      </c>
      <c r="E98" s="226"/>
      <c r="F98" s="226" t="s">
        <v>10</v>
      </c>
      <c r="G98" s="226"/>
      <c r="H98" s="224" t="s">
        <v>23</v>
      </c>
      <c r="I98" s="225"/>
      <c r="J98" s="227" t="s">
        <v>11</v>
      </c>
      <c r="K98" s="228"/>
    </row>
    <row r="99" spans="1:11" x14ac:dyDescent="0.2">
      <c r="B99" s="231" t="str">
        <f>IF(B97=C97,B97*100&amp;"%",B97*100&amp;"%"&amp;"/"&amp;C97*100&amp;"%")</f>
        <v>57%</v>
      </c>
      <c r="C99" s="231"/>
      <c r="D99" s="231" t="str">
        <f>IF(D97=E97,D97*100&amp;"%",D97*100&amp;"%"&amp;"/"&amp;E97*100&amp;"%")</f>
        <v>57%</v>
      </c>
      <c r="E99" s="231"/>
      <c r="F99" s="231" t="str">
        <f>IF(F97=G97,F97*100&amp;"%",F97*100&amp;"%"&amp;"/"&amp;G97*100&amp;"%")</f>
        <v>57%</v>
      </c>
      <c r="G99" s="231"/>
      <c r="H99" s="224" t="str">
        <f>IF(H97=I97,H97*100&amp;"%",H97*100&amp;"%"&amp;"/"&amp;I97*100&amp;"%")</f>
        <v>57%</v>
      </c>
      <c r="I99" s="225"/>
      <c r="J99" s="224" t="str">
        <f>IF(J97=K97,J97*100&amp;"%",J97*100&amp;"%"&amp;"/"&amp;K97*100&amp;"%")</f>
        <v>57%</v>
      </c>
      <c r="K99" s="225"/>
    </row>
    <row r="100" spans="1:11" x14ac:dyDescent="0.2">
      <c r="H100" s="38"/>
    </row>
    <row r="103" spans="1:11" x14ac:dyDescent="0.2">
      <c r="A103" s="9" t="s">
        <v>106</v>
      </c>
      <c r="B103" s="4" t="s">
        <v>107</v>
      </c>
      <c r="C103" s="9" t="s">
        <v>8</v>
      </c>
      <c r="D103" s="9" t="s">
        <v>9</v>
      </c>
      <c r="E103" s="9" t="s">
        <v>10</v>
      </c>
      <c r="F103" s="9" t="s">
        <v>23</v>
      </c>
      <c r="G103" s="9" t="s">
        <v>11</v>
      </c>
      <c r="H103" s="9" t="s">
        <v>12</v>
      </c>
    </row>
    <row r="104" spans="1:11" x14ac:dyDescent="0.2">
      <c r="A104" s="40">
        <f>Request!B120</f>
        <v>0</v>
      </c>
      <c r="B104" s="4" t="str">
        <f>IF(Request!K120="non-UC","No","Yes")</f>
        <v>Yes</v>
      </c>
      <c r="C104" s="4">
        <f>Request!N120+(IF(Request!$K121="IC of Above",Request!N121,0))</f>
        <v>0</v>
      </c>
      <c r="D104" s="4">
        <f>Request!O120+(IF(Request!$K121="IC of Above",Request!O121,0))</f>
        <v>0</v>
      </c>
      <c r="E104" s="4">
        <f>Request!P120+(IF(Request!$K121="IC of Above",Request!P121,0))</f>
        <v>0</v>
      </c>
      <c r="F104" s="4">
        <f>Request!Q120+(IF(Request!$K121="IC of Above",Request!Q121,0))</f>
        <v>0</v>
      </c>
      <c r="G104" s="4">
        <f>Request!R120+(IF(Request!$K121="IC of Above",Request!R121,0))</f>
        <v>0</v>
      </c>
      <c r="H104" s="4">
        <f t="shared" ref="H104:H118" si="23">SUM(C104:G104)</f>
        <v>0</v>
      </c>
    </row>
    <row r="105" spans="1:11" x14ac:dyDescent="0.2">
      <c r="A105" s="40">
        <f>Request!B121</f>
        <v>0</v>
      </c>
      <c r="B105" s="4" t="str">
        <f>IF(Request!K121="non-UC","No",IF(Request!K27="IC of Above","Yes","Yes"))</f>
        <v>Yes</v>
      </c>
      <c r="C105" s="4">
        <f>IF(Request!$K121="IC of Above",0,Request!N121+IF(Request!$K122="IC of Above",Request!N122,0))</f>
        <v>0</v>
      </c>
      <c r="D105" s="4">
        <f>IF(Request!$K121="IC of Above",0,Request!O121+IF(Request!$K122="IC of Above",Request!O122,0))</f>
        <v>0</v>
      </c>
      <c r="E105" s="4">
        <f>IF(Request!$K121="IC of Above",0,Request!P121+IF(Request!$K122="IC of Above",Request!P122,0))</f>
        <v>0</v>
      </c>
      <c r="F105" s="4">
        <f>IF(Request!$K121="IC of Above",0,Request!Q121+IF(Request!$K122="IC of Above",Request!Q122,0))</f>
        <v>0</v>
      </c>
      <c r="G105" s="4">
        <f>IF(Request!$K121="IC of Above",0,Request!R121+IF(Request!$K122="IC of Above",Request!R122,0))</f>
        <v>0</v>
      </c>
      <c r="H105" s="4">
        <f t="shared" si="23"/>
        <v>0</v>
      </c>
    </row>
    <row r="106" spans="1:11" x14ac:dyDescent="0.2">
      <c r="A106" s="40">
        <f>Request!B122</f>
        <v>0</v>
      </c>
      <c r="B106" s="4" t="str">
        <f>IF(Request!K122="non-UC","No","Yes")</f>
        <v>Yes</v>
      </c>
      <c r="C106" s="4">
        <f>IF(Request!$K122="IC of Above",0,Request!N122+IF(Request!$K123="IC of Above",Request!N123,0))</f>
        <v>0</v>
      </c>
      <c r="D106" s="4">
        <f>IF(Request!$K122="IC of Above",0,Request!O122+IF(Request!$K123="IC of Above",Request!O123,0))</f>
        <v>0</v>
      </c>
      <c r="E106" s="4">
        <f>IF(Request!$K122="IC of Above",0,Request!P122+IF(Request!$K123="IC of Above",Request!P123,0))</f>
        <v>0</v>
      </c>
      <c r="F106" s="4">
        <f>IF(Request!$K122="IC of Above",0,Request!Q122+IF(Request!$K123="IC of Above",Request!Q123,0))</f>
        <v>0</v>
      </c>
      <c r="G106" s="4">
        <f>IF(Request!$K122="IC of Above",0,Request!R122+IF(Request!$K123="IC of Above",Request!R123,0))</f>
        <v>0</v>
      </c>
      <c r="H106" s="4">
        <f t="shared" si="23"/>
        <v>0</v>
      </c>
    </row>
    <row r="107" spans="1:11" x14ac:dyDescent="0.2">
      <c r="A107" s="40">
        <f>Request!B123</f>
        <v>0</v>
      </c>
      <c r="B107" s="4" t="str">
        <f>IF(Request!K123="non-UC","No","Yes")</f>
        <v>Yes</v>
      </c>
      <c r="C107" s="4">
        <f>IF(Request!$K123="IC of Above",0,Request!N123+IF(Request!$K124="IC of Above",Request!N124,0))</f>
        <v>0</v>
      </c>
      <c r="D107" s="4">
        <f>IF(Request!$K123="IC of Above",0,Request!O123+IF(Request!$K124="IC of Above",Request!O124,0))</f>
        <v>0</v>
      </c>
      <c r="E107" s="4">
        <f>IF(Request!$K123="IC of Above",0,Request!P123+IF(Request!$K124="IC of Above",Request!P124,0))</f>
        <v>0</v>
      </c>
      <c r="F107" s="4">
        <f>IF(Request!$K123="IC of Above",0,Request!Q123+IF(Request!$K124="IC of Above",Request!Q124,0))</f>
        <v>0</v>
      </c>
      <c r="G107" s="4">
        <f>IF(Request!$K123="IC of Above",0,Request!R123+IF(Request!$K124="IC of Above",Request!R124,0))</f>
        <v>0</v>
      </c>
      <c r="H107" s="4">
        <f t="shared" si="23"/>
        <v>0</v>
      </c>
    </row>
    <row r="108" spans="1:11" x14ac:dyDescent="0.2">
      <c r="A108" s="40">
        <f>Request!B124</f>
        <v>0</v>
      </c>
      <c r="B108" s="4" t="str">
        <f>IF(Request!K124="non-UC","No","Yes")</f>
        <v>Yes</v>
      </c>
      <c r="C108" s="4">
        <f>IF(Request!$K124="IC of Above",0,Request!N124+IF(Request!$K125="IC of Above",Request!N125,0))</f>
        <v>0</v>
      </c>
      <c r="D108" s="4">
        <f>IF(Request!$K124="IC of Above",0,Request!O124+IF(Request!$K125="IC of Above",Request!O125,0))</f>
        <v>0</v>
      </c>
      <c r="E108" s="4">
        <f>IF(Request!$K124="IC of Above",0,Request!P124+IF(Request!$K125="IC of Above",Request!P125,0))</f>
        <v>0</v>
      </c>
      <c r="F108" s="4">
        <f>IF(Request!$K124="IC of Above",0,Request!Q124+IF(Request!$K125="IC of Above",Request!Q125,0))</f>
        <v>0</v>
      </c>
      <c r="G108" s="4">
        <f>IF(Request!$K124="IC of Above",0,Request!R124+IF(Request!$K125="IC of Above",Request!R125,0))</f>
        <v>0</v>
      </c>
      <c r="H108" s="4">
        <f t="shared" si="23"/>
        <v>0</v>
      </c>
    </row>
    <row r="109" spans="1:11" x14ac:dyDescent="0.2">
      <c r="A109" s="40">
        <f>Request!B125</f>
        <v>0</v>
      </c>
      <c r="B109" s="4" t="str">
        <f>IF(Request!K125="non-UC","No","Yes")</f>
        <v>Yes</v>
      </c>
      <c r="C109" s="4">
        <f>IF(Request!$K125="IC of Above",0,Request!N125+IF(Request!$K126="IC of Above",Request!N126,0))</f>
        <v>0</v>
      </c>
      <c r="D109" s="4">
        <f>IF(Request!$K125="IC of Above",0,Request!O125+IF(Request!$K126="IC of Above",Request!O126,0))</f>
        <v>0</v>
      </c>
      <c r="E109" s="4">
        <f>IF(Request!$K125="IC of Above",0,Request!P125+IF(Request!$K126="IC of Above",Request!P126,0))</f>
        <v>0</v>
      </c>
      <c r="F109" s="4">
        <f>IF(Request!$K125="IC of Above",0,Request!Q125+IF(Request!$K126="IC of Above",Request!Q126,0))</f>
        <v>0</v>
      </c>
      <c r="G109" s="4">
        <f>IF(Request!$K125="IC of Above",0,Request!R125+IF(Request!$K126="IC of Above",Request!R126,0))</f>
        <v>0</v>
      </c>
      <c r="H109" s="4">
        <f t="shared" si="23"/>
        <v>0</v>
      </c>
    </row>
    <row r="110" spans="1:11" x14ac:dyDescent="0.2">
      <c r="A110" s="40">
        <f>Request!B126</f>
        <v>0</v>
      </c>
      <c r="B110" s="4" t="str">
        <f>IF(Request!K126="non-UC","No","Yes")</f>
        <v>Yes</v>
      </c>
      <c r="C110" s="4">
        <f>IF(Request!$K126="IC of Above",0,Request!N126+IF(Request!$K127="IC of Above",Request!N127,0))</f>
        <v>0</v>
      </c>
      <c r="D110" s="4">
        <f>IF(Request!$K126="IC of Above",0,Request!O126+IF(Request!$K127="IC of Above",Request!O127,0))</f>
        <v>0</v>
      </c>
      <c r="E110" s="4">
        <f>IF(Request!$K126="IC of Above",0,Request!P126+IF(Request!$K127="IC of Above",Request!P127,0))</f>
        <v>0</v>
      </c>
      <c r="F110" s="4">
        <f>IF(Request!$K126="IC of Above",0,Request!Q126+IF(Request!$K127="IC of Above",Request!Q127,0))</f>
        <v>0</v>
      </c>
      <c r="G110" s="4">
        <f>IF(Request!$K126="IC of Above",0,Request!R126+IF(Request!$K127="IC of Above",Request!R127,0))</f>
        <v>0</v>
      </c>
      <c r="H110" s="4">
        <f t="shared" si="23"/>
        <v>0</v>
      </c>
    </row>
    <row r="111" spans="1:11" x14ac:dyDescent="0.2">
      <c r="A111" s="40">
        <f>Request!B127</f>
        <v>0</v>
      </c>
      <c r="B111" s="4" t="str">
        <f>IF(Request!K127="non-UC","No","Yes")</f>
        <v>Yes</v>
      </c>
      <c r="C111" s="4">
        <f>IF(Request!$K127="IC of Above",0,Request!N127+IF(Request!$K128="IC of Above",Request!N128,0))</f>
        <v>0</v>
      </c>
      <c r="D111" s="4">
        <f>IF(Request!$K127="IC of Above",0,Request!O127+IF(Request!$K128="IC of Above",Request!O128,0))</f>
        <v>0</v>
      </c>
      <c r="E111" s="4">
        <f>IF(Request!$K127="IC of Above",0,Request!P127+IF(Request!$K128="IC of Above",Request!P128,0))</f>
        <v>0</v>
      </c>
      <c r="F111" s="4">
        <f>IF(Request!$K127="IC of Above",0,Request!Q127+IF(Request!$K128="IC of Above",Request!Q128,0))</f>
        <v>0</v>
      </c>
      <c r="G111" s="4">
        <f>IF(Request!$K127="IC of Above",0,Request!R127+IF(Request!$K128="IC of Above",Request!R128,0))</f>
        <v>0</v>
      </c>
      <c r="H111" s="4">
        <f t="shared" si="23"/>
        <v>0</v>
      </c>
    </row>
    <row r="112" spans="1:11" x14ac:dyDescent="0.2">
      <c r="A112" s="40">
        <f>Request!B128</f>
        <v>0</v>
      </c>
      <c r="B112" s="4" t="str">
        <f>IF(Request!K128="non-UC","No","Yes")</f>
        <v>Yes</v>
      </c>
      <c r="C112" s="4">
        <f>IF(Request!$K128="IC of Above",0,Request!N128+IF(Request!$K129="IC of Above",Request!N129,0))</f>
        <v>0</v>
      </c>
      <c r="D112" s="4">
        <f>IF(Request!$K128="IC of Above",0,Request!O128+IF(Request!$K129="IC of Above",Request!O129,0))</f>
        <v>0</v>
      </c>
      <c r="E112" s="4">
        <f>IF(Request!$K128="IC of Above",0,Request!P128+IF(Request!$K129="IC of Above",Request!P129,0))</f>
        <v>0</v>
      </c>
      <c r="F112" s="4">
        <f>IF(Request!$K128="IC of Above",0,Request!Q128+IF(Request!$K129="IC of Above",Request!Q129,0))</f>
        <v>0</v>
      </c>
      <c r="G112" s="4">
        <f>IF(Request!$K128="IC of Above",0,Request!R128+IF(Request!$K129="IC of Above",Request!R129,0))</f>
        <v>0</v>
      </c>
      <c r="H112" s="4">
        <f t="shared" si="23"/>
        <v>0</v>
      </c>
    </row>
    <row r="113" spans="1:8" x14ac:dyDescent="0.2">
      <c r="A113" s="40">
        <f>Request!B129</f>
        <v>0</v>
      </c>
      <c r="B113" s="4" t="str">
        <f>IF(Request!K129="non-UC","No","Yes")</f>
        <v>Yes</v>
      </c>
      <c r="C113" s="4">
        <f>IF(Request!$K129="IC of Above",0,Request!N129+IF(Request!$K130="IC of Above",Request!N130,0))</f>
        <v>0</v>
      </c>
      <c r="D113" s="4">
        <f>IF(Request!$K129="IC of Above",0,Request!O129+IF(Request!$K130="IC of Above",Request!O130,0))</f>
        <v>0</v>
      </c>
      <c r="E113" s="4">
        <f>IF(Request!$K129="IC of Above",0,Request!P129+IF(Request!$K130="IC of Above",Request!P130,0))</f>
        <v>0</v>
      </c>
      <c r="F113" s="4">
        <f>IF(Request!$K129="IC of Above",0,Request!Q129+IF(Request!$K130="IC of Above",Request!Q130,0))</f>
        <v>0</v>
      </c>
      <c r="G113" s="4">
        <f>IF(Request!$K129="IC of Above",0,Request!R129+IF(Request!$K130="IC of Above",Request!R130,0))</f>
        <v>0</v>
      </c>
      <c r="H113" s="4">
        <f t="shared" si="23"/>
        <v>0</v>
      </c>
    </row>
    <row r="114" spans="1:8" x14ac:dyDescent="0.2">
      <c r="A114" s="40">
        <f>Request!B130</f>
        <v>0</v>
      </c>
      <c r="B114" s="4" t="str">
        <f>IF(Request!K130="non-UC","No","Yes")</f>
        <v>Yes</v>
      </c>
      <c r="C114" s="4">
        <f>IF(Request!$K130="IC of Above",0,Request!N130+IF(Request!$K131="IC of Above",Request!N131,0))</f>
        <v>0</v>
      </c>
      <c r="D114" s="4">
        <f>IF(Request!$K130="IC of Above",0,Request!O130+IF(Request!$K131="IC of Above",Request!O131,0))</f>
        <v>0</v>
      </c>
      <c r="E114" s="4">
        <f>IF(Request!$K130="IC of Above",0,Request!P130+IF(Request!$K131="IC of Above",Request!P131,0))</f>
        <v>0</v>
      </c>
      <c r="F114" s="4">
        <f>IF(Request!$K130="IC of Above",0,Request!Q130+IF(Request!$K131="IC of Above",Request!Q131,0))</f>
        <v>0</v>
      </c>
      <c r="G114" s="4">
        <f>IF(Request!$K130="IC of Above",0,Request!R130+IF(Request!$K131="IC of Above",Request!R131,0))</f>
        <v>0</v>
      </c>
      <c r="H114" s="4">
        <f t="shared" si="23"/>
        <v>0</v>
      </c>
    </row>
    <row r="115" spans="1:8" x14ac:dyDescent="0.2">
      <c r="A115" s="40">
        <f>Request!B131</f>
        <v>0</v>
      </c>
      <c r="B115" s="4" t="str">
        <f>IF(Request!K131="non-UC","No","Yes")</f>
        <v>Yes</v>
      </c>
      <c r="C115" s="4">
        <f>IF(Request!$K131="IC of Above",0,Request!N131+IF(Request!$K132="IC of Above",Request!N132,0))</f>
        <v>0</v>
      </c>
      <c r="D115" s="4">
        <f>IF(Request!$K131="IC of Above",0,Request!O131+IF(Request!$K132="IC of Above",Request!O132,0))</f>
        <v>0</v>
      </c>
      <c r="E115" s="4">
        <f>IF(Request!$K131="IC of Above",0,Request!P131+IF(Request!$K132="IC of Above",Request!P132,0))</f>
        <v>0</v>
      </c>
      <c r="F115" s="4">
        <f>IF(Request!$K131="IC of Above",0,Request!Q131+IF(Request!$K132="IC of Above",Request!Q132,0))</f>
        <v>0</v>
      </c>
      <c r="G115" s="4">
        <f>IF(Request!$K131="IC of Above",0,Request!R131+IF(Request!$K132="IC of Above",Request!R132,0))</f>
        <v>0</v>
      </c>
      <c r="H115" s="4">
        <f t="shared" si="23"/>
        <v>0</v>
      </c>
    </row>
    <row r="116" spans="1:8" x14ac:dyDescent="0.2">
      <c r="A116" s="40">
        <f>Request!B132</f>
        <v>0</v>
      </c>
      <c r="B116" s="4" t="str">
        <f>IF(Request!K132="non-UC","No","Yes")</f>
        <v>Yes</v>
      </c>
      <c r="C116" s="4">
        <f>IF(Request!$K132="IC of Above",0,Request!N132+IF(Request!$K133="IC of Above",Request!N133,0))</f>
        <v>0</v>
      </c>
      <c r="D116" s="4">
        <f>IF(Request!$K132="IC of Above",0,Request!O132+IF(Request!$K133="IC of Above",Request!O133,0))</f>
        <v>0</v>
      </c>
      <c r="E116" s="4">
        <f>IF(Request!$K132="IC of Above",0,Request!P132+IF(Request!$K133="IC of Above",Request!P133,0))</f>
        <v>0</v>
      </c>
      <c r="F116" s="4">
        <f>IF(Request!$K132="IC of Above",0,Request!Q132+IF(Request!$K133="IC of Above",Request!Q133,0))</f>
        <v>0</v>
      </c>
      <c r="G116" s="4">
        <f>IF(Request!$K132="IC of Above",0,Request!R132+IF(Request!$K133="IC of Above",Request!R133,0))</f>
        <v>0</v>
      </c>
      <c r="H116" s="4">
        <f t="shared" si="23"/>
        <v>0</v>
      </c>
    </row>
    <row r="117" spans="1:8" x14ac:dyDescent="0.2">
      <c r="A117" s="40">
        <f>Request!B133</f>
        <v>0</v>
      </c>
      <c r="B117" s="4" t="str">
        <f>IF(Request!K133="non-UC","No","Yes")</f>
        <v>Yes</v>
      </c>
      <c r="C117" s="4">
        <f>IF(Request!$K133="IC of Above",0,Request!N133+IF(Request!$K134="IC of Above",Request!N134,0))</f>
        <v>0</v>
      </c>
      <c r="D117" s="4">
        <f>IF(Request!$K133="IC of Above",0,Request!O133+IF(Request!$K134="IC of Above",Request!O134,0))</f>
        <v>0</v>
      </c>
      <c r="E117" s="4">
        <f>IF(Request!$K133="IC of Above",0,Request!P133+IF(Request!$K134="IC of Above",Request!P134,0))</f>
        <v>0</v>
      </c>
      <c r="F117" s="4">
        <f>IF(Request!$K133="IC of Above",0,Request!Q133+IF(Request!$K134="IC of Above",Request!Q134,0))</f>
        <v>0</v>
      </c>
      <c r="G117" s="4">
        <f>IF(Request!$K133="IC of Above",0,Request!R133+IF(Request!$K134="IC of Above",Request!R134,0))</f>
        <v>0</v>
      </c>
      <c r="H117" s="4">
        <f t="shared" si="23"/>
        <v>0</v>
      </c>
    </row>
    <row r="118" spans="1:8" x14ac:dyDescent="0.2">
      <c r="A118" s="40">
        <f>Request!B134</f>
        <v>0</v>
      </c>
      <c r="B118" s="4" t="str">
        <f>IF(Request!K134="non-UC","No","Yes")</f>
        <v>Yes</v>
      </c>
      <c r="C118" s="4">
        <f>IF(Request!$K134="IC of Above",0,Request!N134+IF(Request!$K135="IC of Above",Request!N135,0))</f>
        <v>0</v>
      </c>
      <c r="D118" s="4">
        <f>IF(Request!$K134="IC of Above",0,Request!O134+IF(Request!$K135="IC of Above",Request!O135,0))</f>
        <v>0</v>
      </c>
      <c r="E118" s="4">
        <f>IF(Request!$K134="IC of Above",0,Request!P134+IF(Request!$K135="IC of Above",Request!P135,0))</f>
        <v>0</v>
      </c>
      <c r="F118" s="4">
        <f>IF(Request!$K134="IC of Above",0,Request!Q134+IF(Request!$K135="IC of Above",Request!Q135,0))</f>
        <v>0</v>
      </c>
      <c r="G118" s="4">
        <f>IF(Request!$K134="IC of Above",0,Request!R134+IF(Request!$K135="IC of Above",Request!R135,0))</f>
        <v>0</v>
      </c>
      <c r="H118" s="4">
        <f t="shared" si="23"/>
        <v>0</v>
      </c>
    </row>
    <row r="120" spans="1:8" x14ac:dyDescent="0.2">
      <c r="A120" s="9" t="s">
        <v>109</v>
      </c>
      <c r="B120" s="4" t="s">
        <v>107</v>
      </c>
      <c r="C120" s="9" t="s">
        <v>8</v>
      </c>
      <c r="D120" s="9" t="s">
        <v>9</v>
      </c>
      <c r="E120" s="9" t="s">
        <v>10</v>
      </c>
      <c r="F120" s="9" t="s">
        <v>23</v>
      </c>
      <c r="G120" s="9" t="s">
        <v>11</v>
      </c>
      <c r="H120" s="9" t="s">
        <v>12</v>
      </c>
    </row>
    <row r="121" spans="1:8" x14ac:dyDescent="0.2">
      <c r="A121" s="40">
        <f>Request!B138</f>
        <v>0</v>
      </c>
      <c r="B121" s="4" t="str">
        <f>IF(Request!K120="non-UC","No","Yes")</f>
        <v>Yes</v>
      </c>
      <c r="C121" s="4">
        <f>IF(B104="Yes",0,(IF(C104&gt;25000,25000,C104)))</f>
        <v>0</v>
      </c>
      <c r="D121" s="4">
        <f t="shared" ref="D121:D135" si="24">IF(B121="Yes",0,IF(C104&gt;=25000,0,IF(C104+D104&gt;=25000,25000-C104,D104)))</f>
        <v>0</v>
      </c>
      <c r="E121" s="4">
        <f t="shared" ref="E121:E135" si="25">IF(B121="Yes",0,IF((C104+D104)&gt;=25000,0,IF((C104+D104+E104)&gt;=25000,25000-C104-D104,E104)))</f>
        <v>0</v>
      </c>
      <c r="F121" s="4">
        <f t="shared" ref="F121:F135" si="26">IF(B121="Yes",0,IF((C104+D104+E104)&gt;=25000,0,IF((C104+D104+E104+F104)&gt;=25000,25000-C104-D104-E104,F104)))</f>
        <v>0</v>
      </c>
      <c r="G121" s="4">
        <f t="shared" ref="G121:G135" si="27">IF(B121="Yes",0,IF((C104+D104+E104+F104)&gt;=25000,0,IF((C104+D104+E104+F104+G104)&gt;=25000,25000-C104-D104-E104-F104,G104)))</f>
        <v>0</v>
      </c>
      <c r="H121" s="4">
        <f t="shared" ref="H121:H136" si="28">SUM(C121:G121)</f>
        <v>0</v>
      </c>
    </row>
    <row r="122" spans="1:8" x14ac:dyDescent="0.2">
      <c r="A122" s="40" t="str">
        <f>Request!B139</f>
        <v>example: WPRN clinic costs</v>
      </c>
      <c r="B122" s="4" t="str">
        <f>IF(Request!K121="non-UC","No","Yes")</f>
        <v>Yes</v>
      </c>
      <c r="C122" s="4">
        <f>IF(B105="Yes",0,(IF(C105&gt;25000,25000,C105)))</f>
        <v>0</v>
      </c>
      <c r="D122" s="4">
        <f t="shared" si="24"/>
        <v>0</v>
      </c>
      <c r="E122" s="4">
        <f t="shared" si="25"/>
        <v>0</v>
      </c>
      <c r="F122" s="4">
        <f t="shared" si="26"/>
        <v>0</v>
      </c>
      <c r="G122" s="4">
        <f t="shared" si="27"/>
        <v>0</v>
      </c>
      <c r="H122" s="4">
        <f t="shared" si="28"/>
        <v>0</v>
      </c>
    </row>
    <row r="123" spans="1:8" x14ac:dyDescent="0.2">
      <c r="A123" s="40">
        <f>Request!B140</f>
        <v>0</v>
      </c>
      <c r="B123" s="4" t="str">
        <f>IF(Request!K122="non-UC","No","Yes")</f>
        <v>Yes</v>
      </c>
      <c r="C123" s="4">
        <f t="shared" ref="C123:C135" si="29">IF(B106="Yes",0,(IF(C106&gt;25000,25000,C106)))</f>
        <v>0</v>
      </c>
      <c r="D123" s="4">
        <f t="shared" si="24"/>
        <v>0</v>
      </c>
      <c r="E123" s="4">
        <f t="shared" si="25"/>
        <v>0</v>
      </c>
      <c r="F123" s="4">
        <f t="shared" si="26"/>
        <v>0</v>
      </c>
      <c r="G123" s="4">
        <f t="shared" si="27"/>
        <v>0</v>
      </c>
      <c r="H123" s="4">
        <f t="shared" si="28"/>
        <v>0</v>
      </c>
    </row>
    <row r="124" spans="1:8" x14ac:dyDescent="0.2">
      <c r="A124" s="40">
        <f>Request!B142</f>
        <v>0</v>
      </c>
      <c r="B124" s="4" t="str">
        <f>IF(Request!K123="non-UC","No","Yes")</f>
        <v>Yes</v>
      </c>
      <c r="C124" s="4">
        <f t="shared" si="29"/>
        <v>0</v>
      </c>
      <c r="D124" s="4">
        <f t="shared" si="24"/>
        <v>0</v>
      </c>
      <c r="E124" s="4">
        <f t="shared" si="25"/>
        <v>0</v>
      </c>
      <c r="F124" s="4">
        <f t="shared" si="26"/>
        <v>0</v>
      </c>
      <c r="G124" s="4">
        <f t="shared" si="27"/>
        <v>0</v>
      </c>
      <c r="H124" s="4">
        <f t="shared" si="28"/>
        <v>0</v>
      </c>
    </row>
    <row r="125" spans="1:8" x14ac:dyDescent="0.2">
      <c r="A125" s="40">
        <f>Request!B143</f>
        <v>0</v>
      </c>
      <c r="B125" s="4" t="str">
        <f>IF(Request!K124="non-UC","No","Yes")</f>
        <v>Yes</v>
      </c>
      <c r="C125" s="4">
        <f t="shared" si="29"/>
        <v>0</v>
      </c>
      <c r="D125" s="4">
        <f t="shared" si="24"/>
        <v>0</v>
      </c>
      <c r="E125" s="4">
        <f t="shared" si="25"/>
        <v>0</v>
      </c>
      <c r="F125" s="4">
        <f t="shared" si="26"/>
        <v>0</v>
      </c>
      <c r="G125" s="4">
        <f t="shared" si="27"/>
        <v>0</v>
      </c>
      <c r="H125" s="4">
        <f t="shared" si="28"/>
        <v>0</v>
      </c>
    </row>
    <row r="126" spans="1:8" x14ac:dyDescent="0.2">
      <c r="A126" s="40">
        <f>Request!B144</f>
        <v>0</v>
      </c>
      <c r="B126" s="4" t="str">
        <f>IF(Request!K125="non-UC","No","Yes")</f>
        <v>Yes</v>
      </c>
      <c r="C126" s="4">
        <f t="shared" si="29"/>
        <v>0</v>
      </c>
      <c r="D126" s="4">
        <f t="shared" si="24"/>
        <v>0</v>
      </c>
      <c r="E126" s="4">
        <f t="shared" si="25"/>
        <v>0</v>
      </c>
      <c r="F126" s="4">
        <f t="shared" si="26"/>
        <v>0</v>
      </c>
      <c r="G126" s="4">
        <f t="shared" si="27"/>
        <v>0</v>
      </c>
      <c r="H126" s="4">
        <f t="shared" si="28"/>
        <v>0</v>
      </c>
    </row>
    <row r="127" spans="1:8" x14ac:dyDescent="0.2">
      <c r="A127" s="40" t="e">
        <f>Request!#REF!</f>
        <v>#REF!</v>
      </c>
      <c r="B127" s="4" t="str">
        <f>IF(Request!K126="non-UC","No","Yes")</f>
        <v>Yes</v>
      </c>
      <c r="C127" s="4">
        <f t="shared" si="29"/>
        <v>0</v>
      </c>
      <c r="D127" s="4">
        <f t="shared" si="24"/>
        <v>0</v>
      </c>
      <c r="E127" s="4">
        <f t="shared" si="25"/>
        <v>0</v>
      </c>
      <c r="F127" s="4">
        <f t="shared" si="26"/>
        <v>0</v>
      </c>
      <c r="G127" s="4">
        <f t="shared" si="27"/>
        <v>0</v>
      </c>
      <c r="H127" s="4">
        <f t="shared" si="28"/>
        <v>0</v>
      </c>
    </row>
    <row r="128" spans="1:8" x14ac:dyDescent="0.2">
      <c r="A128" s="40" t="e">
        <f>Request!#REF!</f>
        <v>#REF!</v>
      </c>
      <c r="B128" s="4" t="str">
        <f>IF(Request!K127="non-UC","No","Yes")</f>
        <v>Yes</v>
      </c>
      <c r="C128" s="4">
        <f t="shared" si="29"/>
        <v>0</v>
      </c>
      <c r="D128" s="4">
        <f t="shared" si="24"/>
        <v>0</v>
      </c>
      <c r="E128" s="4">
        <f t="shared" si="25"/>
        <v>0</v>
      </c>
      <c r="F128" s="4">
        <f t="shared" si="26"/>
        <v>0</v>
      </c>
      <c r="G128" s="4">
        <f t="shared" si="27"/>
        <v>0</v>
      </c>
      <c r="H128" s="4">
        <f t="shared" si="28"/>
        <v>0</v>
      </c>
    </row>
    <row r="129" spans="1:8" x14ac:dyDescent="0.2">
      <c r="A129" s="40" t="e">
        <f>Request!#REF!</f>
        <v>#REF!</v>
      </c>
      <c r="B129" s="4" t="str">
        <f>IF(Request!K128="non-UC","No","Yes")</f>
        <v>Yes</v>
      </c>
      <c r="C129" s="4">
        <f t="shared" si="29"/>
        <v>0</v>
      </c>
      <c r="D129" s="4">
        <f t="shared" si="24"/>
        <v>0</v>
      </c>
      <c r="E129" s="4">
        <f t="shared" si="25"/>
        <v>0</v>
      </c>
      <c r="F129" s="4">
        <f t="shared" si="26"/>
        <v>0</v>
      </c>
      <c r="G129" s="4">
        <f t="shared" si="27"/>
        <v>0</v>
      </c>
      <c r="H129" s="4">
        <f t="shared" si="28"/>
        <v>0</v>
      </c>
    </row>
    <row r="130" spans="1:8" x14ac:dyDescent="0.2">
      <c r="A130" s="40" t="e">
        <f>Request!#REF!</f>
        <v>#REF!</v>
      </c>
      <c r="B130" s="4" t="str">
        <f>IF(Request!K129="non-UC","No","Yes")</f>
        <v>Yes</v>
      </c>
      <c r="C130" s="4">
        <f t="shared" si="29"/>
        <v>0</v>
      </c>
      <c r="D130" s="4">
        <f t="shared" si="24"/>
        <v>0</v>
      </c>
      <c r="E130" s="4">
        <f t="shared" si="25"/>
        <v>0</v>
      </c>
      <c r="F130" s="4">
        <f t="shared" si="26"/>
        <v>0</v>
      </c>
      <c r="G130" s="4">
        <f t="shared" si="27"/>
        <v>0</v>
      </c>
      <c r="H130" s="4">
        <f t="shared" si="28"/>
        <v>0</v>
      </c>
    </row>
    <row r="131" spans="1:8" x14ac:dyDescent="0.2">
      <c r="A131" s="40">
        <f>Request!B145</f>
        <v>0</v>
      </c>
      <c r="B131" s="4" t="str">
        <f>IF(Request!K130="non-UC","No","Yes")</f>
        <v>Yes</v>
      </c>
      <c r="C131" s="4">
        <f t="shared" si="29"/>
        <v>0</v>
      </c>
      <c r="D131" s="4">
        <f t="shared" si="24"/>
        <v>0</v>
      </c>
      <c r="E131" s="4">
        <f t="shared" si="25"/>
        <v>0</v>
      </c>
      <c r="F131" s="4">
        <f t="shared" si="26"/>
        <v>0</v>
      </c>
      <c r="G131" s="4">
        <f t="shared" si="27"/>
        <v>0</v>
      </c>
      <c r="H131" s="4">
        <f t="shared" si="28"/>
        <v>0</v>
      </c>
    </row>
    <row r="132" spans="1:8" x14ac:dyDescent="0.2">
      <c r="A132" s="40">
        <f>Request!B146</f>
        <v>0</v>
      </c>
      <c r="B132" s="4" t="str">
        <f>IF(Request!K131="non-UC","No","Yes")</f>
        <v>Yes</v>
      </c>
      <c r="C132" s="4">
        <f t="shared" si="29"/>
        <v>0</v>
      </c>
      <c r="D132" s="4">
        <f t="shared" si="24"/>
        <v>0</v>
      </c>
      <c r="E132" s="4">
        <f t="shared" si="25"/>
        <v>0</v>
      </c>
      <c r="F132" s="4">
        <f t="shared" si="26"/>
        <v>0</v>
      </c>
      <c r="G132" s="4">
        <f t="shared" si="27"/>
        <v>0</v>
      </c>
      <c r="H132" s="4">
        <f t="shared" si="28"/>
        <v>0</v>
      </c>
    </row>
    <row r="133" spans="1:8" x14ac:dyDescent="0.2">
      <c r="A133" s="40">
        <f>Request!B147</f>
        <v>0</v>
      </c>
      <c r="B133" s="4" t="str">
        <f>IF(Request!K132="non-UC","No","Yes")</f>
        <v>Yes</v>
      </c>
      <c r="C133" s="4">
        <f t="shared" si="29"/>
        <v>0</v>
      </c>
      <c r="D133" s="4">
        <f t="shared" si="24"/>
        <v>0</v>
      </c>
      <c r="E133" s="4">
        <f t="shared" si="25"/>
        <v>0</v>
      </c>
      <c r="F133" s="4">
        <f t="shared" si="26"/>
        <v>0</v>
      </c>
      <c r="G133" s="4">
        <f t="shared" si="27"/>
        <v>0</v>
      </c>
      <c r="H133" s="4">
        <f t="shared" si="28"/>
        <v>0</v>
      </c>
    </row>
    <row r="134" spans="1:8" x14ac:dyDescent="0.2">
      <c r="A134" s="40">
        <f>Request!B148</f>
        <v>0</v>
      </c>
      <c r="B134" s="4" t="str">
        <f>IF(Request!K133="non-UC","No","Yes")</f>
        <v>Yes</v>
      </c>
      <c r="C134" s="4">
        <f t="shared" si="29"/>
        <v>0</v>
      </c>
      <c r="D134" s="4">
        <f t="shared" si="24"/>
        <v>0</v>
      </c>
      <c r="E134" s="4">
        <f t="shared" si="25"/>
        <v>0</v>
      </c>
      <c r="F134" s="4">
        <f t="shared" si="26"/>
        <v>0</v>
      </c>
      <c r="G134" s="4">
        <f t="shared" si="27"/>
        <v>0</v>
      </c>
      <c r="H134" s="4">
        <f t="shared" si="28"/>
        <v>0</v>
      </c>
    </row>
    <row r="135" spans="1:8" x14ac:dyDescent="0.2">
      <c r="A135" s="40">
        <f>Request!B149</f>
        <v>0</v>
      </c>
      <c r="B135" s="4" t="str">
        <f>IF(Request!K134="non-UC","No","Yes")</f>
        <v>Yes</v>
      </c>
      <c r="C135" s="4">
        <f t="shared" si="29"/>
        <v>0</v>
      </c>
      <c r="D135" s="4">
        <f t="shared" si="24"/>
        <v>0</v>
      </c>
      <c r="E135" s="4">
        <f t="shared" si="25"/>
        <v>0</v>
      </c>
      <c r="F135" s="4">
        <f t="shared" si="26"/>
        <v>0</v>
      </c>
      <c r="G135" s="4">
        <f t="shared" si="27"/>
        <v>0</v>
      </c>
      <c r="H135" s="4">
        <f t="shared" si="28"/>
        <v>0</v>
      </c>
    </row>
    <row r="136" spans="1:8" x14ac:dyDescent="0.2">
      <c r="A136" s="230" t="s">
        <v>108</v>
      </c>
      <c r="B136" s="230"/>
      <c r="C136" s="41">
        <f>SUM(C121:C135)</f>
        <v>0</v>
      </c>
      <c r="D136" s="41">
        <f>SUM(D121:D135)</f>
        <v>0</v>
      </c>
      <c r="E136" s="41">
        <f t="shared" ref="E136:G136" si="30">SUM(E121:E135)</f>
        <v>0</v>
      </c>
      <c r="F136" s="41">
        <f t="shared" si="30"/>
        <v>0</v>
      </c>
      <c r="G136" s="41">
        <f t="shared" si="30"/>
        <v>0</v>
      </c>
      <c r="H136" s="41">
        <f t="shared" si="28"/>
        <v>0</v>
      </c>
    </row>
    <row r="138" spans="1:8" x14ac:dyDescent="0.2">
      <c r="A138" s="9" t="s">
        <v>110</v>
      </c>
      <c r="B138" s="4" t="s">
        <v>107</v>
      </c>
      <c r="C138" s="9" t="s">
        <v>8</v>
      </c>
      <c r="D138" s="9" t="s">
        <v>9</v>
      </c>
      <c r="E138" s="9" t="s">
        <v>10</v>
      </c>
      <c r="F138" s="9" t="s">
        <v>23</v>
      </c>
      <c r="G138" s="9" t="s">
        <v>11</v>
      </c>
      <c r="H138" s="9" t="s">
        <v>12</v>
      </c>
    </row>
    <row r="139" spans="1:8" x14ac:dyDescent="0.2">
      <c r="A139" s="40">
        <f>Request!B153</f>
        <v>0</v>
      </c>
      <c r="B139" s="4" t="str">
        <f>IF(Request!K120="non-UC","No","Yes")</f>
        <v>Yes</v>
      </c>
      <c r="C139" s="4">
        <f>IF($B139="Yes",0,C104)</f>
        <v>0</v>
      </c>
      <c r="D139" s="4">
        <f t="shared" ref="D139:G139" si="31">IF($B139="Yes",0,D104)</f>
        <v>0</v>
      </c>
      <c r="E139" s="4">
        <f t="shared" si="31"/>
        <v>0</v>
      </c>
      <c r="F139" s="4">
        <f t="shared" si="31"/>
        <v>0</v>
      </c>
      <c r="G139" s="4">
        <f t="shared" si="31"/>
        <v>0</v>
      </c>
      <c r="H139" s="4">
        <f t="shared" ref="H139:H154" si="32">SUM(C139:G139)</f>
        <v>0</v>
      </c>
    </row>
    <row r="140" spans="1:8" x14ac:dyDescent="0.2">
      <c r="A140" s="40">
        <f>Request!B163</f>
        <v>0</v>
      </c>
      <c r="B140" s="4" t="str">
        <f>IF(Request!K121="non-UC","No","Yes")</f>
        <v>Yes</v>
      </c>
      <c r="C140" s="4">
        <f t="shared" ref="C140:G153" si="33">IF($B140="Yes",0,C105)</f>
        <v>0</v>
      </c>
      <c r="D140" s="4">
        <f t="shared" si="33"/>
        <v>0</v>
      </c>
      <c r="E140" s="4">
        <f t="shared" si="33"/>
        <v>0</v>
      </c>
      <c r="F140" s="4">
        <f t="shared" si="33"/>
        <v>0</v>
      </c>
      <c r="G140" s="4">
        <f t="shared" si="33"/>
        <v>0</v>
      </c>
      <c r="H140" s="4">
        <f t="shared" si="32"/>
        <v>0</v>
      </c>
    </row>
    <row r="141" spans="1:8" x14ac:dyDescent="0.2">
      <c r="A141" s="40">
        <f>Request!B164</f>
        <v>0</v>
      </c>
      <c r="B141" s="4" t="str">
        <f>IF(Request!K122="non-UC","No","Yes")</f>
        <v>Yes</v>
      </c>
      <c r="C141" s="4">
        <f t="shared" si="33"/>
        <v>0</v>
      </c>
      <c r="D141" s="4">
        <f t="shared" si="33"/>
        <v>0</v>
      </c>
      <c r="E141" s="4">
        <f t="shared" si="33"/>
        <v>0</v>
      </c>
      <c r="F141" s="4">
        <f t="shared" si="33"/>
        <v>0</v>
      </c>
      <c r="G141" s="4">
        <f t="shared" si="33"/>
        <v>0</v>
      </c>
      <c r="H141" s="4">
        <f t="shared" si="32"/>
        <v>0</v>
      </c>
    </row>
    <row r="142" spans="1:8" x14ac:dyDescent="0.2">
      <c r="A142" s="40">
        <f>Request!B165</f>
        <v>0</v>
      </c>
      <c r="B142" s="4" t="str">
        <f>IF(Request!K123="non-UC","No","Yes")</f>
        <v>Yes</v>
      </c>
      <c r="C142" s="4">
        <f t="shared" si="33"/>
        <v>0</v>
      </c>
      <c r="D142" s="4">
        <f t="shared" si="33"/>
        <v>0</v>
      </c>
      <c r="E142" s="4">
        <f t="shared" si="33"/>
        <v>0</v>
      </c>
      <c r="F142" s="4">
        <f t="shared" si="33"/>
        <v>0</v>
      </c>
      <c r="G142" s="4">
        <f t="shared" si="33"/>
        <v>0</v>
      </c>
      <c r="H142" s="4">
        <f t="shared" si="32"/>
        <v>0</v>
      </c>
    </row>
    <row r="143" spans="1:8" x14ac:dyDescent="0.2">
      <c r="A143" s="40">
        <f>Request!B166</f>
        <v>0</v>
      </c>
      <c r="B143" s="4" t="str">
        <f>IF(Request!K124="non-UC","No","Yes")</f>
        <v>Yes</v>
      </c>
      <c r="C143" s="4">
        <f t="shared" si="33"/>
        <v>0</v>
      </c>
      <c r="D143" s="4">
        <f t="shared" si="33"/>
        <v>0</v>
      </c>
      <c r="E143" s="4">
        <f t="shared" si="33"/>
        <v>0</v>
      </c>
      <c r="F143" s="4">
        <f t="shared" si="33"/>
        <v>0</v>
      </c>
      <c r="G143" s="4">
        <f t="shared" si="33"/>
        <v>0</v>
      </c>
      <c r="H143" s="4">
        <f t="shared" si="32"/>
        <v>0</v>
      </c>
    </row>
    <row r="144" spans="1:8" x14ac:dyDescent="0.2">
      <c r="A144" s="40">
        <f>Request!B167</f>
        <v>0</v>
      </c>
      <c r="B144" s="4" t="str">
        <f>IF(Request!K125="non-UC","No","Yes")</f>
        <v>Yes</v>
      </c>
      <c r="C144" s="4">
        <f t="shared" si="33"/>
        <v>0</v>
      </c>
      <c r="D144" s="4">
        <f t="shared" si="33"/>
        <v>0</v>
      </c>
      <c r="E144" s="4">
        <f t="shared" si="33"/>
        <v>0</v>
      </c>
      <c r="F144" s="4">
        <f t="shared" si="33"/>
        <v>0</v>
      </c>
      <c r="G144" s="4">
        <f t="shared" si="33"/>
        <v>0</v>
      </c>
      <c r="H144" s="4">
        <f t="shared" si="32"/>
        <v>0</v>
      </c>
    </row>
    <row r="145" spans="1:18" x14ac:dyDescent="0.2">
      <c r="A145" s="40">
        <f>Request!B168</f>
        <v>0</v>
      </c>
      <c r="B145" s="4" t="str">
        <f>IF(Request!K126="non-UC","No","Yes")</f>
        <v>Yes</v>
      </c>
      <c r="C145" s="4">
        <f t="shared" si="33"/>
        <v>0</v>
      </c>
      <c r="D145" s="4">
        <f t="shared" si="33"/>
        <v>0</v>
      </c>
      <c r="E145" s="4">
        <f t="shared" si="33"/>
        <v>0</v>
      </c>
      <c r="F145" s="4">
        <f t="shared" si="33"/>
        <v>0</v>
      </c>
      <c r="G145" s="4">
        <f t="shared" si="33"/>
        <v>0</v>
      </c>
      <c r="H145" s="4">
        <f t="shared" si="32"/>
        <v>0</v>
      </c>
    </row>
    <row r="146" spans="1:18" x14ac:dyDescent="0.2">
      <c r="A146" s="40">
        <f>Request!B169</f>
        <v>0</v>
      </c>
      <c r="B146" s="4" t="str">
        <f>IF(Request!K127="non-UC","No","Yes")</f>
        <v>Yes</v>
      </c>
      <c r="C146" s="4">
        <f t="shared" si="33"/>
        <v>0</v>
      </c>
      <c r="D146" s="4">
        <f t="shared" si="33"/>
        <v>0</v>
      </c>
      <c r="E146" s="4">
        <f t="shared" si="33"/>
        <v>0</v>
      </c>
      <c r="F146" s="4">
        <f t="shared" si="33"/>
        <v>0</v>
      </c>
      <c r="G146" s="4">
        <f t="shared" si="33"/>
        <v>0</v>
      </c>
      <c r="H146" s="4">
        <f t="shared" si="32"/>
        <v>0</v>
      </c>
    </row>
    <row r="147" spans="1:18" x14ac:dyDescent="0.2">
      <c r="A147" s="40">
        <f>Request!B170</f>
        <v>0</v>
      </c>
      <c r="B147" s="4" t="str">
        <f>IF(Request!K128="non-UC","No","Yes")</f>
        <v>Yes</v>
      </c>
      <c r="C147" s="4">
        <f t="shared" si="33"/>
        <v>0</v>
      </c>
      <c r="D147" s="4">
        <f t="shared" si="33"/>
        <v>0</v>
      </c>
      <c r="E147" s="4">
        <f t="shared" si="33"/>
        <v>0</v>
      </c>
      <c r="F147" s="4">
        <f t="shared" si="33"/>
        <v>0</v>
      </c>
      <c r="G147" s="4">
        <f t="shared" si="33"/>
        <v>0</v>
      </c>
      <c r="H147" s="4">
        <f t="shared" si="32"/>
        <v>0</v>
      </c>
    </row>
    <row r="148" spans="1:18" x14ac:dyDescent="0.2">
      <c r="A148" s="40">
        <f>Request!B171</f>
        <v>0</v>
      </c>
      <c r="B148" s="4" t="str">
        <f>IF(Request!K129="non-UC","No","Yes")</f>
        <v>Yes</v>
      </c>
      <c r="C148" s="4">
        <f t="shared" si="33"/>
        <v>0</v>
      </c>
      <c r="D148" s="4">
        <f t="shared" si="33"/>
        <v>0</v>
      </c>
      <c r="E148" s="4">
        <f t="shared" si="33"/>
        <v>0</v>
      </c>
      <c r="F148" s="4">
        <f t="shared" si="33"/>
        <v>0</v>
      </c>
      <c r="G148" s="4">
        <f t="shared" si="33"/>
        <v>0</v>
      </c>
      <c r="H148" s="4">
        <f t="shared" si="32"/>
        <v>0</v>
      </c>
    </row>
    <row r="149" spans="1:18" x14ac:dyDescent="0.2">
      <c r="A149" s="40">
        <f>Request!B172</f>
        <v>0</v>
      </c>
      <c r="B149" s="4" t="str">
        <f>IF(Request!K130="non-UC","No","Yes")</f>
        <v>Yes</v>
      </c>
      <c r="C149" s="4">
        <f t="shared" si="33"/>
        <v>0</v>
      </c>
      <c r="D149" s="4">
        <f t="shared" si="33"/>
        <v>0</v>
      </c>
      <c r="E149" s="4">
        <f t="shared" si="33"/>
        <v>0</v>
      </c>
      <c r="F149" s="4">
        <f t="shared" si="33"/>
        <v>0</v>
      </c>
      <c r="G149" s="4">
        <f t="shared" si="33"/>
        <v>0</v>
      </c>
      <c r="H149" s="4">
        <f t="shared" si="32"/>
        <v>0</v>
      </c>
    </row>
    <row r="150" spans="1:18" x14ac:dyDescent="0.2">
      <c r="A150" s="40">
        <f>Request!B173</f>
        <v>0</v>
      </c>
      <c r="B150" s="4" t="str">
        <f>IF(Request!K131="non-UC","No","Yes")</f>
        <v>Yes</v>
      </c>
      <c r="C150" s="4">
        <f t="shared" si="33"/>
        <v>0</v>
      </c>
      <c r="D150" s="4">
        <f t="shared" si="33"/>
        <v>0</v>
      </c>
      <c r="E150" s="4">
        <f t="shared" si="33"/>
        <v>0</v>
      </c>
      <c r="F150" s="4">
        <f t="shared" si="33"/>
        <v>0</v>
      </c>
      <c r="G150" s="4">
        <f t="shared" si="33"/>
        <v>0</v>
      </c>
      <c r="H150" s="4">
        <f t="shared" si="32"/>
        <v>0</v>
      </c>
    </row>
    <row r="151" spans="1:18" x14ac:dyDescent="0.2">
      <c r="A151" s="40">
        <f>Request!B174</f>
        <v>0</v>
      </c>
      <c r="B151" s="4" t="str">
        <f>IF(Request!K132="non-UC","No","Yes")</f>
        <v>Yes</v>
      </c>
      <c r="C151" s="4">
        <f t="shared" si="33"/>
        <v>0</v>
      </c>
      <c r="D151" s="4">
        <f t="shared" si="33"/>
        <v>0</v>
      </c>
      <c r="E151" s="4">
        <f t="shared" si="33"/>
        <v>0</v>
      </c>
      <c r="F151" s="4">
        <f t="shared" si="33"/>
        <v>0</v>
      </c>
      <c r="G151" s="4">
        <f t="shared" si="33"/>
        <v>0</v>
      </c>
      <c r="H151" s="4">
        <f t="shared" si="32"/>
        <v>0</v>
      </c>
    </row>
    <row r="152" spans="1:18" x14ac:dyDescent="0.2">
      <c r="A152" s="40">
        <f>Request!B175</f>
        <v>0</v>
      </c>
      <c r="B152" s="4" t="str">
        <f>IF(Request!K133="non-UC","No","Yes")</f>
        <v>Yes</v>
      </c>
      <c r="C152" s="4">
        <f t="shared" si="33"/>
        <v>0</v>
      </c>
      <c r="D152" s="4">
        <f t="shared" si="33"/>
        <v>0</v>
      </c>
      <c r="E152" s="4">
        <f t="shared" si="33"/>
        <v>0</v>
      </c>
      <c r="F152" s="4">
        <f t="shared" si="33"/>
        <v>0</v>
      </c>
      <c r="G152" s="4">
        <f t="shared" si="33"/>
        <v>0</v>
      </c>
      <c r="H152" s="4">
        <f t="shared" si="32"/>
        <v>0</v>
      </c>
    </row>
    <row r="153" spans="1:18" x14ac:dyDescent="0.2">
      <c r="A153" s="40">
        <f>Request!B176</f>
        <v>0</v>
      </c>
      <c r="B153" s="4" t="str">
        <f>IF(Request!K134="non-UC","No","Yes")</f>
        <v>Yes</v>
      </c>
      <c r="C153" s="4">
        <f t="shared" si="33"/>
        <v>0</v>
      </c>
      <c r="D153" s="4">
        <f t="shared" si="33"/>
        <v>0</v>
      </c>
      <c r="E153" s="4">
        <f t="shared" si="33"/>
        <v>0</v>
      </c>
      <c r="F153" s="4">
        <f t="shared" si="33"/>
        <v>0</v>
      </c>
      <c r="G153" s="4">
        <f t="shared" si="33"/>
        <v>0</v>
      </c>
      <c r="H153" s="4">
        <f t="shared" si="32"/>
        <v>0</v>
      </c>
    </row>
    <row r="154" spans="1:18" x14ac:dyDescent="0.2">
      <c r="A154" s="230" t="s">
        <v>108</v>
      </c>
      <c r="B154" s="230"/>
      <c r="C154" s="41">
        <f>SUM(C139:C153)</f>
        <v>0</v>
      </c>
      <c r="D154" s="41">
        <f>SUM(D139:D153)</f>
        <v>0</v>
      </c>
      <c r="E154" s="41">
        <f t="shared" ref="E154" si="34">SUM(E139:E153)</f>
        <v>0</v>
      </c>
      <c r="F154" s="41">
        <f t="shared" ref="F154" si="35">SUM(F139:F153)</f>
        <v>0</v>
      </c>
      <c r="G154" s="41">
        <f t="shared" ref="G154" si="36">SUM(G139:G153)</f>
        <v>0</v>
      </c>
      <c r="H154" s="41">
        <f t="shared" si="32"/>
        <v>0</v>
      </c>
    </row>
    <row r="155" spans="1:18" x14ac:dyDescent="0.2">
      <c r="A155" s="43"/>
      <c r="B155" s="43"/>
      <c r="C155" s="44"/>
      <c r="D155" s="44"/>
      <c r="E155" s="44"/>
      <c r="F155" s="44"/>
      <c r="G155" s="44"/>
      <c r="H155" s="44"/>
    </row>
    <row r="156" spans="1:18" x14ac:dyDescent="0.2">
      <c r="I156" s="23"/>
      <c r="J156" s="23"/>
      <c r="K156" s="23"/>
      <c r="L156" s="23"/>
      <c r="M156" s="23"/>
      <c r="N156" s="23"/>
      <c r="O156" s="23"/>
      <c r="P156" s="23"/>
      <c r="Q156" s="23"/>
      <c r="R156" s="23"/>
    </row>
    <row r="157" spans="1:18" x14ac:dyDescent="0.2">
      <c r="A157" s="45" t="s">
        <v>81</v>
      </c>
      <c r="B157" s="4" t="s">
        <v>96</v>
      </c>
      <c r="C157" s="41">
        <f>Request!N60+Request!N85+Request!N117+Request!N145+SUM(Request!N164:N168)+SUM(Request!N179:N193)+Worksheet!C136</f>
        <v>38472</v>
      </c>
      <c r="D157" s="41">
        <f>IF(D4="",0,(Request!O60+Request!O85+Request!O117+Request!O145+SUM(Request!O164:O168)+SUM(Request!O179:O193)+Worksheet!D136))</f>
        <v>0</v>
      </c>
      <c r="E157" s="41">
        <f>IF(E4="",0,(Request!P60+Request!P85+Request!P117+Request!P145+SUM(Request!P164:P168)+SUM(Request!P179:P193)+Worksheet!E136))</f>
        <v>0</v>
      </c>
      <c r="F157" s="41">
        <f>IF(F4="",0,(Request!Q60+Request!Q85+Request!Q117+Request!Q145+SUM(Request!Q164:Q168)+SUM(Request!Q179:Q193)+Worksheet!F136))</f>
        <v>0</v>
      </c>
      <c r="G157" s="41">
        <f>IF(G4="",0,(Request!R60+Request!R85+Request!R117+Request!R145+SUM(Request!R164:R168)+SUM(Request!R179:R193)+Worksheet!G136))</f>
        <v>0</v>
      </c>
      <c r="H157" s="42">
        <f>SUM(C157:G157)</f>
        <v>38472</v>
      </c>
      <c r="I157" s="23"/>
      <c r="J157" s="23"/>
      <c r="K157" s="23"/>
      <c r="L157" s="23"/>
      <c r="M157" s="23"/>
      <c r="N157" s="23"/>
      <c r="O157" s="23"/>
      <c r="P157" s="23"/>
      <c r="Q157" s="23"/>
      <c r="R157" s="23"/>
    </row>
    <row r="158" spans="1:18" x14ac:dyDescent="0.2">
      <c r="A158" s="46"/>
      <c r="B158" s="4" t="s">
        <v>111</v>
      </c>
      <c r="C158" s="42">
        <f>Request!N196-Request!N135+Worksheet!C154</f>
        <v>38472</v>
      </c>
      <c r="D158" s="42">
        <f>IF(D4="",0,(Request!O196-Request!O135+Worksheet!D154))</f>
        <v>0</v>
      </c>
      <c r="E158" s="42">
        <f>IF(E4="",0,(Request!P196-Request!P135+Worksheet!E154))</f>
        <v>0</v>
      </c>
      <c r="F158" s="42">
        <f>IF(F4="",0,(Request!Q196-Request!Q135+Worksheet!F154))</f>
        <v>0</v>
      </c>
      <c r="G158" s="42">
        <f>IF(G4="",0,(Request!R196-Request!R135+Worksheet!G154))</f>
        <v>0</v>
      </c>
      <c r="H158" s="42">
        <f>SUM(C158:G158)</f>
        <v>38472</v>
      </c>
      <c r="I158" s="23"/>
      <c r="J158" s="23"/>
      <c r="K158" s="23"/>
      <c r="L158" s="23"/>
      <c r="M158" s="23"/>
      <c r="N158" s="23"/>
      <c r="O158" s="23"/>
      <c r="P158" s="23"/>
      <c r="Q158" s="23"/>
      <c r="R158" s="23"/>
    </row>
    <row r="159" spans="1:18" x14ac:dyDescent="0.2">
      <c r="A159" s="47"/>
      <c r="B159" s="4" t="s">
        <v>112</v>
      </c>
      <c r="C159" s="41">
        <f>ROUND((Request!N196-Request!N135+Worksheet!C154)/(1-Request!$L$199),0)</f>
        <v>38472</v>
      </c>
      <c r="D159" s="41">
        <f>IF(D4="",0,(ROUND((Request!O196-Request!O135+Worksheet!D154)/(1-Request!$L$199),0)))</f>
        <v>0</v>
      </c>
      <c r="E159" s="41">
        <f>IF(E4="",0,(ROUND((Request!P196-Request!P135+Worksheet!E154)/(1-Request!$L$199),0)))</f>
        <v>0</v>
      </c>
      <c r="F159" s="41">
        <f>IF(F4="",0,(ROUND((Request!Q196-Request!Q135+Worksheet!F154)/(1-Request!$L$199),0)))</f>
        <v>0</v>
      </c>
      <c r="G159" s="41">
        <f>IF(G4="",0,(ROUND((Request!R196-Request!R135+Worksheet!G154)/(1-Request!$L$199),0)))</f>
        <v>0</v>
      </c>
      <c r="H159" s="42">
        <f>SUM(C159:G159)</f>
        <v>38472</v>
      </c>
      <c r="I159" s="23"/>
      <c r="J159" s="23"/>
      <c r="K159" s="23"/>
      <c r="L159" s="23"/>
      <c r="M159" s="23"/>
      <c r="N159" s="23"/>
      <c r="O159" s="23"/>
      <c r="P159" s="23"/>
      <c r="Q159" s="23"/>
      <c r="R159" s="23"/>
    </row>
    <row r="160" spans="1:18" x14ac:dyDescent="0.2">
      <c r="B160" s="1" t="s">
        <v>179</v>
      </c>
      <c r="C160" s="172">
        <f>SUM(Request!N164:N168)</f>
        <v>0</v>
      </c>
      <c r="D160" s="172">
        <f>SUM(Request!O164:O168)</f>
        <v>0</v>
      </c>
      <c r="E160" s="172">
        <f>SUM(Request!P164:P168)</f>
        <v>0</v>
      </c>
      <c r="F160" s="172">
        <f>SUM(Request!Q164:Q168)</f>
        <v>0</v>
      </c>
      <c r="G160" s="172">
        <f>SUM(Request!R164:R168)</f>
        <v>0</v>
      </c>
      <c r="H160" s="172">
        <f>SUM(C160:G160)</f>
        <v>0</v>
      </c>
      <c r="I160" s="23"/>
      <c r="J160" s="23"/>
      <c r="K160" s="23"/>
      <c r="L160" s="23"/>
      <c r="M160" s="23"/>
      <c r="N160" s="23"/>
      <c r="O160" s="23"/>
      <c r="P160" s="23"/>
      <c r="Q160" s="23"/>
      <c r="R160" s="23"/>
    </row>
    <row r="161" spans="1:18" x14ac:dyDescent="0.2">
      <c r="A161" s="1" t="s">
        <v>118</v>
      </c>
      <c r="B161" s="1" t="str">
        <f>Request!D151</f>
        <v>Resident</v>
      </c>
      <c r="C161" s="1" t="s">
        <v>12</v>
      </c>
      <c r="D161" s="1" t="s">
        <v>156</v>
      </c>
      <c r="E161" s="3" t="s">
        <v>45</v>
      </c>
      <c r="F161" s="3" t="s">
        <v>46</v>
      </c>
      <c r="G161" s="3" t="s">
        <v>119</v>
      </c>
      <c r="H161" s="3" t="s">
        <v>120</v>
      </c>
      <c r="I161" s="68" t="s">
        <v>121</v>
      </c>
      <c r="J161" s="68" t="s">
        <v>122</v>
      </c>
      <c r="K161" s="118" t="s">
        <v>147</v>
      </c>
      <c r="L161" s="118" t="s">
        <v>148</v>
      </c>
      <c r="M161" s="118" t="s">
        <v>149</v>
      </c>
      <c r="N161" s="118" t="s">
        <v>150</v>
      </c>
      <c r="O161" s="118" t="s">
        <v>151</v>
      </c>
      <c r="P161" s="23"/>
      <c r="Q161" s="23"/>
      <c r="R161" s="23"/>
    </row>
    <row r="162" spans="1:18" x14ac:dyDescent="0.2">
      <c r="A162" s="4">
        <f>Request!A151</f>
        <v>0</v>
      </c>
      <c r="B162" s="26">
        <f>Request!F151</f>
        <v>0.1</v>
      </c>
      <c r="C162" s="41">
        <f>Request!G151</f>
        <v>17587</v>
      </c>
      <c r="D162" s="41">
        <f>IF(Request!$D$150="Use Buydown",C162*0.75,C162)</f>
        <v>13190.25</v>
      </c>
      <c r="E162" s="41">
        <f>IF(Request!$F$150="AY",ROUND(D162*((1+B162)^$B$24),0),D162)</f>
        <v>13190.25</v>
      </c>
      <c r="F162" s="41">
        <f>IF(Request!$F$150="AY",ROUND(D162*((1+$B162)^($B$24+1)),0),ROUND(E162*(1+B162),0))</f>
        <v>14509</v>
      </c>
      <c r="G162" s="41">
        <f>IF(Request!$F$150="AY",ROUND(D162*((1+$B162)^($B$24+2)),0),ROUND(F162*(1+$B162),0))</f>
        <v>15960</v>
      </c>
      <c r="H162" s="41">
        <f>IF(Request!$F$150="AY",ROUND(D162*((1+$B162)^($B$24+3)),0),ROUND(G162*(1+$B162),0))</f>
        <v>17556</v>
      </c>
      <c r="I162" s="41">
        <f>IF(Request!$F$150="AY",ROUND(D162*((1+$B162)^($B$24+4)),0),ROUND(H162*(1+$B162),0))</f>
        <v>19312</v>
      </c>
      <c r="J162" s="41">
        <f>IF(Request!$F$150="AY",ROUND(D162*((1+$B162)^($B$24+5)),0),ROUND(I162*(1+$B162),0))</f>
        <v>21243</v>
      </c>
      <c r="K162" s="108">
        <f>IF(C$5=0,0,IF(Request!$F$150="AY",(E162*C$27+F162*C$28)/C$29,Worksheet!E162))</f>
        <v>13190.25</v>
      </c>
      <c r="L162" s="108">
        <f>IF(D$5=0,0,IF(Request!$F$150="AY",(F162*D$27+G162*D$28)/D$29,Worksheet!F162))</f>
        <v>0</v>
      </c>
      <c r="M162" s="108">
        <f>IF(E$5=0,0,IF(Request!$F$150="AY",(G162*E$27+H162*E$28)/E$29,Worksheet!G162))</f>
        <v>0</v>
      </c>
      <c r="N162" s="108">
        <f>IF(F$5=0,0,IF(Request!$F$150="AY",(H162*F$27+I162*F$28)/F$29,Worksheet!H162))</f>
        <v>0</v>
      </c>
      <c r="O162" s="108">
        <f>IF(G$5=0,0,IF(Request!$F$150="AY",(I162*G$27+J162*G$28)/G$29,Worksheet!I162))</f>
        <v>0</v>
      </c>
      <c r="P162" s="23"/>
      <c r="Q162" s="23"/>
      <c r="R162" s="23"/>
    </row>
    <row r="163" spans="1:18" x14ac:dyDescent="0.2">
      <c r="A163" s="4">
        <f>Request!A152</f>
        <v>0</v>
      </c>
      <c r="B163" s="26">
        <f>Request!F152</f>
        <v>0.1</v>
      </c>
      <c r="C163" s="41">
        <f>Request!G152</f>
        <v>17587</v>
      </c>
      <c r="D163" s="41">
        <f>IF(Request!$D$150="Use Buydown",C163*0.75,C163)</f>
        <v>13190.25</v>
      </c>
      <c r="E163" s="41">
        <f>IF(Request!$F$150="AY",ROUND(D163*((1+B163)^$B$24),0),D163)</f>
        <v>13190.25</v>
      </c>
      <c r="F163" s="41">
        <f>IF(Request!$F$150="AY",ROUND(D163*((1+$B163)^($B$24+1)),0),ROUND(E163*(1+B163),0))</f>
        <v>14509</v>
      </c>
      <c r="G163" s="41">
        <f>IF(Request!$F$150="AY",ROUND(D163*((1+$B163)^($B$24+2)),0),ROUND(F163*(1+$B163),0))</f>
        <v>15960</v>
      </c>
      <c r="H163" s="41">
        <f>IF(Request!$F$150="AY",ROUND(D163*((1+$B163)^($B$24+3)),0),ROUND(G163*(1+$B163),0))</f>
        <v>17556</v>
      </c>
      <c r="I163" s="41">
        <f>IF(Request!$F$150="AY",ROUND(D163*((1+$B163)^($B$24+4)),0),ROUND(H163*(1+$B163),0))</f>
        <v>19312</v>
      </c>
      <c r="J163" s="41">
        <f>IF(Request!$F$150="AY",ROUND(D163*((1+$B163)^($B$24+5)),0),ROUND(I163*(1+$B163),0))</f>
        <v>21243</v>
      </c>
      <c r="K163" s="108">
        <f>IF(C$5=0,0,IF(Request!$F$150="AY",(E163*C$27+F163*C$28)/C$29,Worksheet!E163))</f>
        <v>13190.25</v>
      </c>
      <c r="L163" s="108">
        <f>IF(D$5=0,0,IF(Request!$F$150="AY",(F163*D$27+G163*D$28)/D$29,Worksheet!F163))</f>
        <v>0</v>
      </c>
      <c r="M163" s="108">
        <f>IF(E$5=0,0,IF(Request!$F$150="AY",(G163*E$27+H163*E$28)/E$29,Worksheet!G163))</f>
        <v>0</v>
      </c>
      <c r="N163" s="108">
        <f>IF(F$5=0,0,IF(Request!$F$150="AY",(H163*F$27+I163*F$28)/F$29,Worksheet!H163))</f>
        <v>0</v>
      </c>
      <c r="O163" s="108">
        <f>IF(G$5=0,0,IF(Request!$F$150="AY",(I163*G$27+J163*G$28)/G$29,Worksheet!I163))</f>
        <v>0</v>
      </c>
      <c r="P163" s="23"/>
      <c r="Q163" s="23"/>
      <c r="R163" s="23"/>
    </row>
    <row r="164" spans="1:18" x14ac:dyDescent="0.2">
      <c r="A164" s="4">
        <f>Request!A153</f>
        <v>0</v>
      </c>
      <c r="B164" s="26">
        <f>Request!F153</f>
        <v>0.1</v>
      </c>
      <c r="C164" s="41">
        <f>Request!G153</f>
        <v>32689</v>
      </c>
      <c r="D164" s="41">
        <f>IF(Request!$D$150="Use Buydown",C164*0.75,C164)</f>
        <v>24516.75</v>
      </c>
      <c r="E164" s="41">
        <f>IF(Request!$F$150="AY",ROUND(D164*((1+B164)^$B$24),0),D164)</f>
        <v>24516.75</v>
      </c>
      <c r="F164" s="41">
        <f>IF(Request!$F$150="AY",ROUND(D164*((1+$B164)^($B$24+1)),0),ROUND(E164*(1+B164),0))</f>
        <v>26968</v>
      </c>
      <c r="G164" s="41">
        <f>IF(Request!$F$150="AY",ROUND(D164*((1+$B164)^($B$24+2)),0),ROUND(F164*(1+$B164),0))</f>
        <v>29665</v>
      </c>
      <c r="H164" s="41">
        <f>IF(Request!$F$150="AY",ROUND(D164*((1+$B164)^($B$24+3)),0),ROUND(G164*(1+$B164),0))</f>
        <v>32632</v>
      </c>
      <c r="I164" s="41">
        <f>IF(Request!$F$150="AY",ROUND(D164*((1+$B164)^($B$24+4)),0),ROUND(H164*(1+$B164),0))</f>
        <v>35895</v>
      </c>
      <c r="J164" s="41">
        <f>IF(Request!$F$150="AY",ROUND(D164*((1+$B164)^($B$24+5)),0),ROUND(I164*(1+$B164),0))</f>
        <v>39485</v>
      </c>
      <c r="K164" s="108">
        <f>IF(C$5=0,0,IF(Request!$F$150="AY",(E164*C$27+F164*C$28)/C$29,Worksheet!E164))</f>
        <v>24516.75</v>
      </c>
      <c r="L164" s="108">
        <f>IF(D$5=0,0,IF(Request!$F$150="AY",(F164*D$27+G164*D$28)/D$29,Worksheet!F164))</f>
        <v>0</v>
      </c>
      <c r="M164" s="108">
        <f>IF(E$5=0,0,IF(Request!$F$150="AY",(G164*E$27+H164*E$28)/E$29,Worksheet!G164))</f>
        <v>0</v>
      </c>
      <c r="N164" s="108">
        <f>IF(F$5=0,0,IF(Request!$F$150="AY",(H164*F$27+I164*F$28)/F$29,Worksheet!H164))</f>
        <v>0</v>
      </c>
      <c r="O164" s="108">
        <f>IF(G$5=0,0,IF(Request!$F$150="AY",(I164*G$27+J164*G$28)/G$29,Worksheet!I164))</f>
        <v>0</v>
      </c>
      <c r="P164" s="23"/>
      <c r="Q164" s="23"/>
      <c r="R164" s="23"/>
    </row>
    <row r="165" spans="1:18" x14ac:dyDescent="0.2">
      <c r="A165" s="4">
        <f>Request!A154</f>
        <v>0</v>
      </c>
      <c r="B165" s="26">
        <f>Request!F154</f>
        <v>0.1</v>
      </c>
      <c r="C165" s="41">
        <f>Request!G154</f>
        <v>17587</v>
      </c>
      <c r="D165" s="41">
        <f>IF(Request!$D$150="Use Buydown",C165*0.75,C165)</f>
        <v>13190.25</v>
      </c>
      <c r="E165" s="41">
        <f>IF(Request!$F$150="AY",ROUND(D165*((1+B165)^$B$24),0),D165)</f>
        <v>13190.25</v>
      </c>
      <c r="F165" s="41">
        <f>IF(Request!$F$150="AY",ROUND(D165*((1+$B165)^($B$24+1)),0),ROUND(E165*(1+B165),0))</f>
        <v>14509</v>
      </c>
      <c r="G165" s="41">
        <f>IF(Request!$F$150="AY",ROUND(D165*((1+$B165)^($B$24+2)),0),ROUND(F165*(1+$B165),0))</f>
        <v>15960</v>
      </c>
      <c r="H165" s="41">
        <f>IF(Request!$F$150="AY",ROUND(D165*((1+$B165)^($B$24+3)),0),ROUND(G165*(1+$B165),0))</f>
        <v>17556</v>
      </c>
      <c r="I165" s="41">
        <f>IF(Request!$F$150="AY",ROUND(D165*((1+$B165)^($B$24+4)),0),ROUND(H165*(1+$B165),0))</f>
        <v>19312</v>
      </c>
      <c r="J165" s="41">
        <f>IF(Request!$F$150="AY",ROUND(D165*((1+$B165)^($B$24+5)),0),ROUND(I165*(1+$B165),0))</f>
        <v>21243</v>
      </c>
      <c r="K165" s="108">
        <f>IF(C$5=0,0,IF(Request!$F$150="AY",(E165*C$27+F165*C$28)/C$29,Worksheet!E165))</f>
        <v>13190.25</v>
      </c>
      <c r="L165" s="108">
        <f>IF(D$5=0,0,IF(Request!$F$150="AY",(F165*D$27+G165*D$28)/D$29,Worksheet!F165))</f>
        <v>0</v>
      </c>
      <c r="M165" s="108">
        <f>IF(E$5=0,0,IF(Request!$F$150="AY",(G165*E$27+H165*E$28)/E$29,Worksheet!G165))</f>
        <v>0</v>
      </c>
      <c r="N165" s="108">
        <f>IF(F$5=0,0,IF(Request!$F$150="AY",(H165*F$27+I165*F$28)/F$29,Worksheet!H165))</f>
        <v>0</v>
      </c>
      <c r="O165" s="108">
        <f>IF(G$5=0,0,IF(Request!$F$150="AY",(I165*G$27+J165*G$28)/G$29,Worksheet!I165))</f>
        <v>0</v>
      </c>
      <c r="P165" s="23"/>
      <c r="Q165" s="23"/>
      <c r="R165" s="23"/>
    </row>
    <row r="166" spans="1:18" x14ac:dyDescent="0.2">
      <c r="A166" s="4">
        <f>Request!A155</f>
        <v>0</v>
      </c>
      <c r="B166" s="26">
        <f>Request!F155</f>
        <v>0.1</v>
      </c>
      <c r="C166" s="41">
        <f>Request!G155</f>
        <v>17587</v>
      </c>
      <c r="D166" s="41">
        <f>IF(Request!$D$150="Use Buydown",C166*0.75,C166)</f>
        <v>13190.25</v>
      </c>
      <c r="E166" s="41">
        <f>IF(Request!$F$150="AY",ROUND(D166*((1+B166)^$B$24),0),D166)</f>
        <v>13190.25</v>
      </c>
      <c r="F166" s="41">
        <f>IF(Request!$F$150="AY",ROUND(D166*((1+$B166)^($B$24+1)),0),ROUND(E166*(1+B166),0))</f>
        <v>14509</v>
      </c>
      <c r="G166" s="41">
        <f>IF(Request!$F$150="AY",ROUND(D166*((1+$B166)^($B$24+2)),0),ROUND(F166*(1+$B166),0))</f>
        <v>15960</v>
      </c>
      <c r="H166" s="41">
        <f>IF(Request!$F$150="AY",ROUND(D166*((1+$B166)^($B$24+3)),0),ROUND(G166*(1+$B166),0))</f>
        <v>17556</v>
      </c>
      <c r="I166" s="41">
        <f>IF(Request!$F$150="AY",ROUND(D166*((1+$B166)^($B$24+4)),0),ROUND(H166*(1+$B166),0))</f>
        <v>19312</v>
      </c>
      <c r="J166" s="41">
        <f>IF(Request!$F$150="AY",ROUND(D166*((1+$B166)^($B$24+5)),0),ROUND(I166*(1+$B166),0))</f>
        <v>21243</v>
      </c>
      <c r="K166" s="108">
        <f>IF(C$5=0,0,IF(Request!$F$150="AY",(E166*C$27+F166*C$28)/C$29,Worksheet!E166))</f>
        <v>13190.25</v>
      </c>
      <c r="L166" s="108">
        <f>IF(D$5=0,0,IF(Request!$F$150="AY",(F166*D$27+G166*D$28)/D$29,Worksheet!F166))</f>
        <v>0</v>
      </c>
      <c r="M166" s="108">
        <f>IF(E$5=0,0,IF(Request!$F$150="AY",(G166*E$27+H166*E$28)/E$29,Worksheet!G166))</f>
        <v>0</v>
      </c>
      <c r="N166" s="108">
        <f>IF(F$5=0,0,IF(Request!$F$150="AY",(H166*F$27+I166*F$28)/F$29,Worksheet!H166))</f>
        <v>0</v>
      </c>
      <c r="O166" s="108">
        <f>IF(G$5=0,0,IF(Request!$F$150="AY",(I166*G$27+J166*G$28)/G$29,Worksheet!I166))</f>
        <v>0</v>
      </c>
      <c r="P166" s="23"/>
      <c r="Q166" s="23"/>
      <c r="R166" s="23"/>
    </row>
    <row r="167" spans="1:18" x14ac:dyDescent="0.2">
      <c r="A167" s="4">
        <f>Request!A156</f>
        <v>0</v>
      </c>
      <c r="B167" s="26">
        <f>Request!F156</f>
        <v>0.1</v>
      </c>
      <c r="C167" s="41">
        <f>Request!G156</f>
        <v>17587</v>
      </c>
      <c r="D167" s="41">
        <f>IF(Request!$D$150="Use Buydown",C167*0.75,C167)</f>
        <v>13190.25</v>
      </c>
      <c r="E167" s="41">
        <f>IF(Request!$F$150="AY",ROUND(D167*((1+B167)^$B$24),0),D167)</f>
        <v>13190.25</v>
      </c>
      <c r="F167" s="41">
        <f>IF(Request!$F$150="AY",ROUND(D167*((1+$B167)^($B$24+1)),0),ROUND(E167*(1+B167),0))</f>
        <v>14509</v>
      </c>
      <c r="G167" s="41">
        <f>IF(Request!$F$150="AY",ROUND(D167*((1+$B167)^($B$24+2)),0),ROUND(F167*(1+$B167),0))</f>
        <v>15960</v>
      </c>
      <c r="H167" s="41">
        <f>IF(Request!$F$150="AY",ROUND(D167*((1+$B167)^($B$24+3)),0),ROUND(G167*(1+$B167),0))</f>
        <v>17556</v>
      </c>
      <c r="I167" s="41">
        <f>IF(Request!$F$150="AY",ROUND(D167*((1+$B167)^($B$24+4)),0),ROUND(H167*(1+$B167),0))</f>
        <v>19312</v>
      </c>
      <c r="J167" s="41">
        <f>IF(Request!$F$150="AY",ROUND(D167*((1+$B167)^($B$24+5)),0),ROUND(I167*(1+$B167),0))</f>
        <v>21243</v>
      </c>
      <c r="K167" s="108">
        <f>IF(C$5=0,0,IF(Request!$F$150="AY",(E167*C$27+F167*C$28)/C$29,Worksheet!E167))</f>
        <v>13190.25</v>
      </c>
      <c r="L167" s="108">
        <f>IF(D$5=0,0,IF(Request!$F$150="AY",(F167*D$27+G167*D$28)/D$29,Worksheet!F167))</f>
        <v>0</v>
      </c>
      <c r="M167" s="108">
        <f>IF(E$5=0,0,IF(Request!$F$150="AY",(G167*E$27+H167*E$28)/E$29,Worksheet!G167))</f>
        <v>0</v>
      </c>
      <c r="N167" s="108">
        <f>IF(F$5=0,0,IF(Request!$F$150="AY",(H167*F$27+I167*F$28)/F$29,Worksheet!H167))</f>
        <v>0</v>
      </c>
      <c r="O167" s="108">
        <f>IF(G$5=0,0,IF(Request!$F$150="AY",(I167*G$27+J167*G$28)/G$29,Worksheet!I167))</f>
        <v>0</v>
      </c>
      <c r="P167" s="23"/>
      <c r="Q167" s="23"/>
      <c r="R167" s="23"/>
    </row>
    <row r="168" spans="1:18" x14ac:dyDescent="0.2">
      <c r="A168" s="4">
        <f>Request!A157</f>
        <v>0</v>
      </c>
      <c r="B168" s="26">
        <f>Request!F157</f>
        <v>0.1</v>
      </c>
      <c r="C168" s="41">
        <f>Request!G157</f>
        <v>17587</v>
      </c>
      <c r="D168" s="41">
        <f>IF(Request!$D$150="Use Buydown",C168*0.75,C168)</f>
        <v>13190.25</v>
      </c>
      <c r="E168" s="41">
        <f>IF(Request!$F$150="AY",ROUND(D168*((1+B168)^$B$24),0),D168)</f>
        <v>13190.25</v>
      </c>
      <c r="F168" s="41">
        <f>IF(Request!$F$150="AY",ROUND(D168*((1+$B168)^($B$24+1)),0),ROUND(E168*(1+B168),0))</f>
        <v>14509</v>
      </c>
      <c r="G168" s="41">
        <f>IF(Request!$F$150="AY",ROUND(D168*((1+$B168)^($B$24+2)),0),ROUND(F168*(1+$B168),0))</f>
        <v>15960</v>
      </c>
      <c r="H168" s="41">
        <f>IF(Request!$F$150="AY",ROUND(D168*((1+$B168)^($B$24+3)),0),ROUND(G168*(1+$B168),0))</f>
        <v>17556</v>
      </c>
      <c r="I168" s="41">
        <f>IF(Request!$F$150="AY",ROUND(D168*((1+$B168)^($B$24+4)),0),ROUND(H168*(1+$B168),0))</f>
        <v>19312</v>
      </c>
      <c r="J168" s="41">
        <f>IF(Request!$F$150="AY",ROUND(D168*((1+$B168)^($B$24+5)),0),ROUND(I168*(1+$B168),0))</f>
        <v>21243</v>
      </c>
      <c r="K168" s="108">
        <f>IF(C$5=0,0,IF(Request!$F$150="AY",(E168*C$27+F168*C$28)/C$29,Worksheet!E168))</f>
        <v>13190.25</v>
      </c>
      <c r="L168" s="108">
        <f>IF(D$5=0,0,IF(Request!$F$150="AY",(F168*D$27+G168*D$28)/D$29,Worksheet!F168))</f>
        <v>0</v>
      </c>
      <c r="M168" s="108">
        <f>IF(E$5=0,0,IF(Request!$F$150="AY",(G168*E$27+H168*E$28)/E$29,Worksheet!G168))</f>
        <v>0</v>
      </c>
      <c r="N168" s="108">
        <f>IF(F$5=0,0,IF(Request!$F$150="AY",(H168*F$27+I168*F$28)/F$29,Worksheet!H168))</f>
        <v>0</v>
      </c>
      <c r="O168" s="108">
        <f>IF(G$5=0,0,IF(Request!$F$150="AY",(I168*G$27+J168*G$28)/G$29,Worksheet!I168))</f>
        <v>0</v>
      </c>
    </row>
    <row r="169" spans="1:18" x14ac:dyDescent="0.2">
      <c r="A169" s="4">
        <f>Request!A158</f>
        <v>0</v>
      </c>
      <c r="B169" s="26">
        <f>Request!F158</f>
        <v>0.1</v>
      </c>
      <c r="C169" s="41">
        <f>Request!G158</f>
        <v>17587</v>
      </c>
      <c r="D169" s="41">
        <f>IF(Request!$D$150="Use Buydown",C169*0.75,C169)</f>
        <v>13190.25</v>
      </c>
      <c r="E169" s="41">
        <f>IF(Request!$F$150="AY",ROUND(D169*((1+B169)^$B$24),0),D169)</f>
        <v>13190.25</v>
      </c>
      <c r="F169" s="41">
        <f>IF(Request!$F$150="AY",ROUND(D169*((1+$B169)^($B$24+1)),0),ROUND(E169*(1+B169),0))</f>
        <v>14509</v>
      </c>
      <c r="G169" s="41">
        <f>IF(Request!$F$150="AY",ROUND(D169*((1+$B169)^($B$24+2)),0),ROUND(F169*(1+$B169),0))</f>
        <v>15960</v>
      </c>
      <c r="H169" s="41">
        <f>IF(Request!$F$150="AY",ROUND(D169*((1+$B169)^($B$24+3)),0),ROUND(G169*(1+$B169),0))</f>
        <v>17556</v>
      </c>
      <c r="I169" s="41">
        <f>IF(Request!$F$150="AY",ROUND(D169*((1+$B169)^($B$24+4)),0),ROUND(H169*(1+$B169),0))</f>
        <v>19312</v>
      </c>
      <c r="J169" s="41">
        <f>IF(Request!$F$150="AY",ROUND(D169*((1+$B169)^($B$24+5)),0),ROUND(I169*(1+$B169),0))</f>
        <v>21243</v>
      </c>
      <c r="K169" s="108">
        <f>IF(C$5=0,0,IF(Request!$F$150="AY",(E169*C$27+F169*C$28)/C$29,Worksheet!E169))</f>
        <v>13190.25</v>
      </c>
      <c r="L169" s="108">
        <f>IF(D$5=0,0,IF(Request!$F$150="AY",(F169*D$27+G169*D$28)/D$29,Worksheet!F169))</f>
        <v>0</v>
      </c>
      <c r="M169" s="108">
        <f>IF(E$5=0,0,IF(Request!$F$150="AY",(G169*E$27+H169*E$28)/E$29,Worksheet!G169))</f>
        <v>0</v>
      </c>
      <c r="N169" s="108">
        <f>IF(F$5=0,0,IF(Request!$F$150="AY",(H169*F$27+I169*F$28)/F$29,Worksheet!H169))</f>
        <v>0</v>
      </c>
      <c r="O169" s="108">
        <f>IF(G$5=0,0,IF(Request!$F$150="AY",(I169*G$27+J169*G$28)/G$29,Worksheet!I169))</f>
        <v>0</v>
      </c>
    </row>
    <row r="170" spans="1:18" x14ac:dyDescent="0.2">
      <c r="A170" s="4">
        <f>Request!A159</f>
        <v>0</v>
      </c>
      <c r="B170" s="26">
        <f>Request!F159</f>
        <v>0.1</v>
      </c>
      <c r="C170" s="41">
        <f>Request!G159</f>
        <v>17587</v>
      </c>
      <c r="D170" s="41">
        <f>IF(Request!$D$150="Use Buydown",C170*0.75,C170)</f>
        <v>13190.25</v>
      </c>
      <c r="E170" s="41">
        <f>IF(Request!$F$150="AY",ROUND(D170*((1+B170)^$B$24),0),D170)</f>
        <v>13190.25</v>
      </c>
      <c r="F170" s="41">
        <f>IF(Request!$F$150="AY",ROUND(D170*((1+$B170)^($B$24+1)),0),ROUND(E170*(1+B170),0))</f>
        <v>14509</v>
      </c>
      <c r="G170" s="41">
        <f>IF(Request!$F$150="AY",ROUND(D170*((1+$B170)^($B$24+2)),0),ROUND(F170*(1+$B170),0))</f>
        <v>15960</v>
      </c>
      <c r="H170" s="41">
        <f>IF(Request!$F$150="AY",ROUND(D170*((1+$B170)^($B$24+3)),0),ROUND(G170*(1+$B170),0))</f>
        <v>17556</v>
      </c>
      <c r="I170" s="41">
        <f>IF(Request!$F$150="AY",ROUND(D170*((1+$B170)^($B$24+4)),0),ROUND(H170*(1+$B170),0))</f>
        <v>19312</v>
      </c>
      <c r="J170" s="41">
        <f>IF(Request!$F$150="AY",ROUND(D170*((1+$B170)^($B$24+5)),0),ROUND(I170*(1+$B170),0))</f>
        <v>21243</v>
      </c>
      <c r="K170" s="108">
        <f>IF(C$5=0,0,IF(Request!$F$150="AY",(E170*C$27+F170*C$28)/C$29,Worksheet!E170))</f>
        <v>13190.25</v>
      </c>
      <c r="L170" s="108">
        <f>IF(D$5=0,0,IF(Request!$F$150="AY",(F170*D$27+G170*D$28)/D$29,Worksheet!F170))</f>
        <v>0</v>
      </c>
      <c r="M170" s="108">
        <f>IF(E$5=0,0,IF(Request!$F$150="AY",(G170*E$27+H170*E$28)/E$29,Worksheet!G170))</f>
        <v>0</v>
      </c>
      <c r="N170" s="108">
        <f>IF(F$5=0,0,IF(Request!$F$150="AY",(H170*F$27+I170*F$28)/F$29,Worksheet!H170))</f>
        <v>0</v>
      </c>
      <c r="O170" s="108">
        <f>IF(G$5=0,0,IF(Request!$F$150="AY",(I170*G$27+J170*G$28)/G$29,Worksheet!I170))</f>
        <v>0</v>
      </c>
    </row>
    <row r="171" spans="1:18" x14ac:dyDescent="0.2">
      <c r="A171" s="4">
        <f>Request!A160</f>
        <v>0</v>
      </c>
      <c r="B171" s="26">
        <f>Request!F160</f>
        <v>0.1</v>
      </c>
      <c r="C171" s="41">
        <f>Request!G160</f>
        <v>17587</v>
      </c>
      <c r="D171" s="41">
        <f>IF(Request!$D$150="Use Buydown",C171*0.75,C171)</f>
        <v>13190.25</v>
      </c>
      <c r="E171" s="41">
        <f>IF(Request!$F$150="AY",ROUND(D171*((1+B171)^$B$24),0),D171)</f>
        <v>13190.25</v>
      </c>
      <c r="F171" s="41">
        <f>IF(Request!$F$150="AY",ROUND(D171*((1+$B171)^($B$24+1)),0),ROUND(E171*(1+B171),0))</f>
        <v>14509</v>
      </c>
      <c r="G171" s="41">
        <f>IF(Request!$F$150="AY",ROUND(D171*((1+$B171)^($B$24+2)),0),ROUND(F171*(1+$B171),0))</f>
        <v>15960</v>
      </c>
      <c r="H171" s="41">
        <f>IF(Request!$F$150="AY",ROUND(D171*((1+$B171)^($B$24+3)),0),ROUND(G171*(1+$B171),0))</f>
        <v>17556</v>
      </c>
      <c r="I171" s="41">
        <f>IF(Request!$F$150="AY",ROUND(D171*((1+$B171)^($B$24+4)),0),ROUND(H171*(1+$B171),0))</f>
        <v>19312</v>
      </c>
      <c r="J171" s="41">
        <f>IF(Request!$F$150="AY",ROUND(D171*((1+$B171)^($B$24+5)),0),ROUND(I171*(1+$B171),0))</f>
        <v>21243</v>
      </c>
      <c r="K171" s="108">
        <f>IF(C$5=0,0,IF(Request!$F$150="AY",(E171*C$27+F171*C$28)/C$29,Worksheet!E171))</f>
        <v>13190.25</v>
      </c>
      <c r="L171" s="108">
        <f>IF(D$5=0,0,IF(Request!$F$150="AY",(F171*D$27+G171*D$28)/D$29,Worksheet!F171))</f>
        <v>0</v>
      </c>
      <c r="M171" s="108">
        <f>IF(E$5=0,0,IF(Request!$F$150="AY",(G171*E$27+H171*E$28)/E$29,Worksheet!G171))</f>
        <v>0</v>
      </c>
      <c r="N171" s="108">
        <f>IF(F$5=0,0,IF(Request!$F$150="AY",(H171*F$27+I171*F$28)/F$29,Worksheet!H171))</f>
        <v>0</v>
      </c>
      <c r="O171" s="108">
        <f>IF(G$5=0,0,IF(Request!$F$150="AY",(I171*G$27+J171*G$28)/G$29,Worksheet!I171))</f>
        <v>0</v>
      </c>
    </row>
    <row r="172" spans="1:18" x14ac:dyDescent="0.2">
      <c r="A172" s="4">
        <f>Request!A161</f>
        <v>0</v>
      </c>
      <c r="B172" s="26">
        <f>Request!F161</f>
        <v>0.1</v>
      </c>
      <c r="C172" s="41">
        <f>Request!G161</f>
        <v>17587</v>
      </c>
      <c r="D172" s="41">
        <f>IF(Request!$D$150="Use Buydown",C172*0.75,C172)</f>
        <v>13190.25</v>
      </c>
      <c r="E172" s="41">
        <f>IF(Request!$F$150="AY",ROUND(D172*((1+B172)^$B$24),0),D172)</f>
        <v>13190.25</v>
      </c>
      <c r="F172" s="41">
        <f>IF(Request!$F$150="AY",ROUND(D172*((1+$B172)^($B$24+1)),0),ROUND(E172*(1+B172),0))</f>
        <v>14509</v>
      </c>
      <c r="G172" s="41">
        <f>IF(Request!$F$150="AY",ROUND(D172*((1+$B172)^($B$24+2)),0),ROUND(F172*(1+$B172),0))</f>
        <v>15960</v>
      </c>
      <c r="H172" s="41">
        <f>IF(Request!$F$150="AY",ROUND(D172*((1+$B172)^($B$24+3)),0),ROUND(G172*(1+$B172),0))</f>
        <v>17556</v>
      </c>
      <c r="I172" s="41">
        <f>IF(Request!$F$150="AY",ROUND(D172*((1+$B172)^($B$24+4)),0),ROUND(H172*(1+$B172),0))</f>
        <v>19312</v>
      </c>
      <c r="J172" s="41">
        <f>IF(Request!$F$150="AY",ROUND(D172*((1+$B172)^($B$24+5)),0),ROUND(I172*(1+$B172),0))</f>
        <v>21243</v>
      </c>
      <c r="K172" s="108">
        <f>IF(C$5=0,0,IF(Request!$F$150="AY",(E172*C$27+F172*C$28)/C$29,Worksheet!E172))</f>
        <v>13190.25</v>
      </c>
      <c r="L172" s="108">
        <f>IF(D$5=0,0,IF(Request!$F$150="AY",(F172*D$27+G172*D$28)/D$29,Worksheet!F172))</f>
        <v>0</v>
      </c>
      <c r="M172" s="108">
        <f>IF(E$5=0,0,IF(Request!$F$150="AY",(G172*E$27+H172*E$28)/E$29,Worksheet!G172))</f>
        <v>0</v>
      </c>
      <c r="N172" s="108">
        <f>IF(F$5=0,0,IF(Request!$F$150="AY",(H172*F$27+I172*F$28)/F$29,Worksheet!H172))</f>
        <v>0</v>
      </c>
      <c r="O172" s="108">
        <f>IF(G$5=0,0,IF(Request!$F$150="AY",(I172*G$27+J172*G$28)/G$29,Worksheet!I172))</f>
        <v>0</v>
      </c>
    </row>
    <row r="173" spans="1:18" x14ac:dyDescent="0.2">
      <c r="A173" s="4">
        <f>Request!A162</f>
        <v>0</v>
      </c>
      <c r="B173" s="26">
        <f>Request!F162</f>
        <v>0.1</v>
      </c>
      <c r="C173" s="41">
        <f>Request!G162</f>
        <v>17587</v>
      </c>
      <c r="D173" s="41">
        <f>IF(Request!$D$150="Use Buydown",C173*0.75,C173)</f>
        <v>13190.25</v>
      </c>
      <c r="E173" s="41">
        <f>IF(Request!$F$150="AY",ROUND(D173*((1+B173)^$B$24),0),D173)</f>
        <v>13190.25</v>
      </c>
      <c r="F173" s="41">
        <f>IF(Request!$F$150="AY",ROUND(D173*((1+$B173)^($B$24+1)),0),ROUND(E173*(1+B173),0))</f>
        <v>14509</v>
      </c>
      <c r="G173" s="41">
        <f>IF(Request!$F$150="AY",ROUND(D173*((1+$B173)^($B$24+2)),0),ROUND(F173*(1+$B173),0))</f>
        <v>15960</v>
      </c>
      <c r="H173" s="41">
        <f>IF(Request!$F$150="AY",ROUND(D173*((1+$B173)^($B$24+3)),0),ROUND(G173*(1+$B173),0))</f>
        <v>17556</v>
      </c>
      <c r="I173" s="41">
        <f>IF(Request!$F$150="AY",ROUND(D173*((1+$B173)^($B$24+4)),0),ROUND(H173*(1+$B173),0))</f>
        <v>19312</v>
      </c>
      <c r="J173" s="41">
        <f>IF(Request!$F$150="AY",ROUND(D173*((1+$B173)^($B$24+5)),0),ROUND(I173*(1+$B173),0))</f>
        <v>21243</v>
      </c>
      <c r="K173" s="108">
        <f>IF(C$5=0,0,IF(Request!$F$150="AY",(E173*C$27+F173*C$28)/C$29,Worksheet!E173))</f>
        <v>13190.25</v>
      </c>
      <c r="L173" s="108">
        <f>IF(D$5=0,0,IF(Request!$F$150="AY",(F173*D$27+G173*D$28)/D$29,Worksheet!F173))</f>
        <v>0</v>
      </c>
      <c r="M173" s="108">
        <f>IF(E$5=0,0,IF(Request!$F$150="AY",(G173*E$27+H173*E$28)/E$29,Worksheet!G173))</f>
        <v>0</v>
      </c>
      <c r="N173" s="108">
        <f>IF(F$5=0,0,IF(Request!$F$150="AY",(H173*F$27+I173*F$28)/F$29,Worksheet!H173))</f>
        <v>0</v>
      </c>
      <c r="O173" s="108">
        <f>IF(G$5=0,0,IF(Request!$F$150="AY",(I173*G$27+J173*G$28)/G$29,Worksheet!I173))</f>
        <v>0</v>
      </c>
    </row>
    <row r="175" spans="1:18" x14ac:dyDescent="0.2">
      <c r="D175" s="38"/>
      <c r="E175" s="38"/>
    </row>
    <row r="176" spans="1:18" x14ac:dyDescent="0.2">
      <c r="A176" s="2" t="s">
        <v>123</v>
      </c>
    </row>
    <row r="177" spans="1:12" x14ac:dyDescent="0.2">
      <c r="A177" s="40" t="str">
        <f>Request!B8</f>
        <v xml:space="preserve">PI #1 </v>
      </c>
      <c r="B177" s="121">
        <f>C5</f>
        <v>12</v>
      </c>
      <c r="C177" s="121">
        <f t="shared" ref="C177:F177" si="37">D5</f>
        <v>0</v>
      </c>
      <c r="D177" s="121">
        <f t="shared" si="37"/>
        <v>0</v>
      </c>
      <c r="E177" s="121">
        <f t="shared" si="37"/>
        <v>0</v>
      </c>
      <c r="F177" s="121">
        <f t="shared" si="37"/>
        <v>0</v>
      </c>
      <c r="G177" s="69">
        <f>Request!L8</f>
        <v>12</v>
      </c>
      <c r="H177" s="69" t="e">
        <f>IF(#REF!="No",(Request!F8*B177/12*Request!$L8),(Request!F8*Worksheet!B177))</f>
        <v>#REF!</v>
      </c>
      <c r="I177" s="69" t="e">
        <f>IF(#REF!="No",(Request!G8*C177/12*Request!$L8),(Request!G8*Worksheet!C177))</f>
        <v>#REF!</v>
      </c>
      <c r="J177" s="69" t="e">
        <f>IF(#REF!="No",(Request!H8*D177/12*Request!$L8),(Request!H8*Worksheet!D177))</f>
        <v>#REF!</v>
      </c>
      <c r="K177" s="69" t="e">
        <f>IF(#REF!="No",(Request!I8*E177/12*Request!$L8),(Request!I8*Worksheet!E177))</f>
        <v>#REF!</v>
      </c>
      <c r="L177" s="69" t="e">
        <f>IF(#REF!="No",(Request!J8*F177/12*Request!$L8),(Request!J8*Worksheet!F177))</f>
        <v>#REF!</v>
      </c>
    </row>
    <row r="178" spans="1:12" x14ac:dyDescent="0.2">
      <c r="A178" s="40" t="str">
        <f>Request!B9</f>
        <v>PI #2</v>
      </c>
      <c r="B178" s="121">
        <f>B177</f>
        <v>12</v>
      </c>
      <c r="C178" s="121">
        <f t="shared" ref="C178:F178" si="38">C177</f>
        <v>0</v>
      </c>
      <c r="D178" s="121">
        <f t="shared" si="38"/>
        <v>0</v>
      </c>
      <c r="E178" s="121">
        <f t="shared" si="38"/>
        <v>0</v>
      </c>
      <c r="F178" s="121">
        <f t="shared" si="38"/>
        <v>0</v>
      </c>
      <c r="G178" s="69">
        <f>Request!L9</f>
        <v>12</v>
      </c>
      <c r="H178" s="69" t="e">
        <f>IF(#REF!="No",(Request!F9*B178/12*Request!$L9),(Request!F9*Worksheet!B178))</f>
        <v>#REF!</v>
      </c>
      <c r="I178" s="69" t="e">
        <f>IF(#REF!="No",(Request!G9*C178/12*Request!$L9),(Request!G9*Worksheet!C178))</f>
        <v>#REF!</v>
      </c>
      <c r="J178" s="69" t="e">
        <f>IF(#REF!="No",(Request!H9*D178/12*Request!$L9),(Request!H9*Worksheet!D178))</f>
        <v>#REF!</v>
      </c>
      <c r="K178" s="69" t="e">
        <f>IF(#REF!="No",(Request!I9*E178/12*Request!$L9),(Request!I9*Worksheet!E178))</f>
        <v>#REF!</v>
      </c>
      <c r="L178" s="69" t="e">
        <f>IF(#REF!="No",(Request!J9*F178/12*Request!$L9),(Request!J9*Worksheet!F178))</f>
        <v>#REF!</v>
      </c>
    </row>
    <row r="179" spans="1:12" x14ac:dyDescent="0.2">
      <c r="A179" s="40" t="str">
        <f>Request!B10</f>
        <v>TBN</v>
      </c>
      <c r="B179" s="121">
        <f t="shared" ref="B179:B200" si="39">B178</f>
        <v>12</v>
      </c>
      <c r="C179" s="121">
        <f t="shared" ref="C179:C200" si="40">C178</f>
        <v>0</v>
      </c>
      <c r="D179" s="121">
        <f t="shared" ref="D179:D200" si="41">D178</f>
        <v>0</v>
      </c>
      <c r="E179" s="121">
        <f t="shared" ref="E179:E200" si="42">E178</f>
        <v>0</v>
      </c>
      <c r="F179" s="121">
        <f t="shared" ref="F179:F200" si="43">F178</f>
        <v>0</v>
      </c>
      <c r="G179" s="69">
        <f>Request!L10</f>
        <v>12</v>
      </c>
      <c r="H179" s="69" t="e">
        <f>IF(#REF!="No",(Request!F10*B179/12*Request!$L10),(Request!F10*Worksheet!B179))</f>
        <v>#REF!</v>
      </c>
      <c r="I179" s="69" t="e">
        <f>IF(#REF!="No",(Request!G10*C179/12*Request!$L10),(Request!G10*Worksheet!C179))</f>
        <v>#REF!</v>
      </c>
      <c r="J179" s="69" t="e">
        <f>IF(#REF!="No",(Request!H10*D179/12*Request!$L10),(Request!H10*Worksheet!D179))</f>
        <v>#REF!</v>
      </c>
      <c r="K179" s="69" t="e">
        <f>IF(#REF!="No",(Request!I10*E179/12*Request!$L10),(Request!I10*Worksheet!E179))</f>
        <v>#REF!</v>
      </c>
      <c r="L179" s="69" t="e">
        <f>IF(#REF!="No",(Request!J10*F179/12*Request!$L10),(Request!J10*Worksheet!F179))</f>
        <v>#REF!</v>
      </c>
    </row>
    <row r="180" spans="1:12" x14ac:dyDescent="0.2">
      <c r="A180" s="40" t="str">
        <f>Request!B11</f>
        <v>TBN</v>
      </c>
      <c r="B180" s="121">
        <f t="shared" si="39"/>
        <v>12</v>
      </c>
      <c r="C180" s="121">
        <f t="shared" si="40"/>
        <v>0</v>
      </c>
      <c r="D180" s="121">
        <f t="shared" si="41"/>
        <v>0</v>
      </c>
      <c r="E180" s="121">
        <f t="shared" si="42"/>
        <v>0</v>
      </c>
      <c r="F180" s="121">
        <f t="shared" si="43"/>
        <v>0</v>
      </c>
      <c r="G180" s="69">
        <f>Request!L11</f>
        <v>12</v>
      </c>
      <c r="H180" s="69" t="e">
        <f>IF(#REF!="No",(Request!F11*B180/12*Request!$L11),(Request!F11*Worksheet!B180))</f>
        <v>#REF!</v>
      </c>
      <c r="I180" s="69" t="e">
        <f>IF(#REF!="No",(Request!G11*C180/12*Request!$L11),(Request!G11*Worksheet!C180))</f>
        <v>#REF!</v>
      </c>
      <c r="J180" s="69" t="e">
        <f>IF(#REF!="No",(Request!H11*D180/12*Request!$L11),(Request!H11*Worksheet!D180))</f>
        <v>#REF!</v>
      </c>
      <c r="K180" s="69" t="e">
        <f>IF(#REF!="No",(Request!I11*E180/12*Request!$L11),(Request!I11*Worksheet!E180))</f>
        <v>#REF!</v>
      </c>
      <c r="L180" s="69" t="e">
        <f>IF(#REF!="No",(Request!J11*F180/12*Request!$L11),(Request!J11*Worksheet!F180))</f>
        <v>#REF!</v>
      </c>
    </row>
    <row r="181" spans="1:12" x14ac:dyDescent="0.2">
      <c r="A181" s="40">
        <f>Request!B12</f>
        <v>0</v>
      </c>
      <c r="B181" s="121">
        <f t="shared" si="39"/>
        <v>12</v>
      </c>
      <c r="C181" s="121">
        <f t="shared" si="40"/>
        <v>0</v>
      </c>
      <c r="D181" s="121">
        <f t="shared" si="41"/>
        <v>0</v>
      </c>
      <c r="E181" s="121">
        <f t="shared" si="42"/>
        <v>0</v>
      </c>
      <c r="F181" s="121">
        <f t="shared" si="43"/>
        <v>0</v>
      </c>
      <c r="G181" s="69">
        <f>Request!L12</f>
        <v>12</v>
      </c>
      <c r="H181" s="69" t="e">
        <f>IF(#REF!="No",(Request!F12*B181/12*Request!$L12),(Request!F12*Worksheet!B181))</f>
        <v>#REF!</v>
      </c>
      <c r="I181" s="69" t="e">
        <f>IF(#REF!="No",(Request!G12*C181/12*Request!$L12),(Request!G12*Worksheet!C181))</f>
        <v>#REF!</v>
      </c>
      <c r="J181" s="69" t="e">
        <f>IF(#REF!="No",(Request!H12*D181/12*Request!$L12),(Request!H12*Worksheet!D181))</f>
        <v>#REF!</v>
      </c>
      <c r="K181" s="69" t="e">
        <f>IF(#REF!="No",(Request!I12*E181/12*Request!$L12),(Request!I12*Worksheet!E181))</f>
        <v>#REF!</v>
      </c>
      <c r="L181" s="69" t="e">
        <f>IF(#REF!="No",(Request!J12*F181/12*Request!$L12),(Request!J12*Worksheet!F181))</f>
        <v>#REF!</v>
      </c>
    </row>
    <row r="182" spans="1:12" x14ac:dyDescent="0.2">
      <c r="A182" s="40">
        <f>Request!B13</f>
        <v>0</v>
      </c>
      <c r="B182" s="121">
        <f t="shared" si="39"/>
        <v>12</v>
      </c>
      <c r="C182" s="121">
        <f t="shared" si="40"/>
        <v>0</v>
      </c>
      <c r="D182" s="121">
        <f t="shared" si="41"/>
        <v>0</v>
      </c>
      <c r="E182" s="121">
        <f t="shared" si="42"/>
        <v>0</v>
      </c>
      <c r="F182" s="121">
        <f t="shared" si="43"/>
        <v>0</v>
      </c>
      <c r="G182" s="69">
        <f>Request!L13</f>
        <v>12</v>
      </c>
      <c r="H182" s="69" t="e">
        <f>IF(#REF!="No",(Request!F13*B182/12*Request!$L13),(Request!F13*Worksheet!B182))</f>
        <v>#REF!</v>
      </c>
      <c r="I182" s="69" t="e">
        <f>IF(#REF!="No",(Request!G13*C182/12*Request!$L13),(Request!G13*Worksheet!C182))</f>
        <v>#REF!</v>
      </c>
      <c r="J182" s="69" t="e">
        <f>IF(#REF!="No",(Request!H13*D182/12*Request!$L13),(Request!H13*Worksheet!D182))</f>
        <v>#REF!</v>
      </c>
      <c r="K182" s="69" t="e">
        <f>IF(#REF!="No",(Request!I13*E182/12*Request!$L13),(Request!I13*Worksheet!E182))</f>
        <v>#REF!</v>
      </c>
      <c r="L182" s="69" t="e">
        <f>IF(#REF!="No",(Request!J13*F182/12*Request!$L13),(Request!J13*Worksheet!F182))</f>
        <v>#REF!</v>
      </c>
    </row>
    <row r="183" spans="1:12" x14ac:dyDescent="0.2">
      <c r="A183" s="40">
        <f>Request!B14</f>
        <v>0</v>
      </c>
      <c r="B183" s="121">
        <f t="shared" si="39"/>
        <v>12</v>
      </c>
      <c r="C183" s="121">
        <f t="shared" si="40"/>
        <v>0</v>
      </c>
      <c r="D183" s="121">
        <f t="shared" si="41"/>
        <v>0</v>
      </c>
      <c r="E183" s="121">
        <f t="shared" si="42"/>
        <v>0</v>
      </c>
      <c r="F183" s="121">
        <f t="shared" si="43"/>
        <v>0</v>
      </c>
      <c r="G183" s="69">
        <f>Request!L14</f>
        <v>12</v>
      </c>
      <c r="H183" s="69" t="e">
        <f>IF(#REF!="No",(Request!F14*B183/12*Request!$L14),(Request!F14*Worksheet!B183))</f>
        <v>#REF!</v>
      </c>
      <c r="I183" s="69" t="e">
        <f>IF(#REF!="No",(Request!G14*C183/12*Request!$L14),(Request!G14*Worksheet!C183))</f>
        <v>#REF!</v>
      </c>
      <c r="J183" s="69" t="e">
        <f>IF(#REF!="No",(Request!H14*D183/12*Request!$L14),(Request!H14*Worksheet!D183))</f>
        <v>#REF!</v>
      </c>
      <c r="K183" s="69" t="e">
        <f>IF(#REF!="No",(Request!I14*E183/12*Request!$L14),(Request!I14*Worksheet!E183))</f>
        <v>#REF!</v>
      </c>
      <c r="L183" s="69" t="e">
        <f>IF(#REF!="No",(Request!J14*F183/12*Request!$L14),(Request!J14*Worksheet!F183))</f>
        <v>#REF!</v>
      </c>
    </row>
    <row r="184" spans="1:12" x14ac:dyDescent="0.2">
      <c r="A184" s="40">
        <f>Request!B15</f>
        <v>0</v>
      </c>
      <c r="B184" s="121">
        <f t="shared" si="39"/>
        <v>12</v>
      </c>
      <c r="C184" s="121">
        <f t="shared" si="40"/>
        <v>0</v>
      </c>
      <c r="D184" s="121">
        <f t="shared" si="41"/>
        <v>0</v>
      </c>
      <c r="E184" s="121">
        <f t="shared" si="42"/>
        <v>0</v>
      </c>
      <c r="F184" s="121">
        <f t="shared" si="43"/>
        <v>0</v>
      </c>
      <c r="G184" s="69">
        <f>Request!L15</f>
        <v>12</v>
      </c>
      <c r="H184" s="69" t="e">
        <f>IF(#REF!="No",(Request!F15*B184/12*Request!$L15),(Request!F15*Worksheet!B184))</f>
        <v>#REF!</v>
      </c>
      <c r="I184" s="69" t="e">
        <f>IF(#REF!="No",(Request!G15*C184/12*Request!$L15),(Request!G15*Worksheet!C184))</f>
        <v>#REF!</v>
      </c>
      <c r="J184" s="69" t="e">
        <f>IF(#REF!="No",(Request!H15*D184/12*Request!$L15),(Request!H15*Worksheet!D184))</f>
        <v>#REF!</v>
      </c>
      <c r="K184" s="69" t="e">
        <f>IF(#REF!="No",(Request!I15*E184/12*Request!$L15),(Request!I15*Worksheet!E184))</f>
        <v>#REF!</v>
      </c>
      <c r="L184" s="69" t="e">
        <f>IF(#REF!="No",(Request!J15*F184/12*Request!$L15),(Request!J15*Worksheet!F184))</f>
        <v>#REF!</v>
      </c>
    </row>
    <row r="185" spans="1:12" x14ac:dyDescent="0.2">
      <c r="A185" s="40">
        <f>Request!B16</f>
        <v>0</v>
      </c>
      <c r="B185" s="121">
        <f t="shared" si="39"/>
        <v>12</v>
      </c>
      <c r="C185" s="121">
        <f t="shared" si="40"/>
        <v>0</v>
      </c>
      <c r="D185" s="121">
        <f t="shared" si="41"/>
        <v>0</v>
      </c>
      <c r="E185" s="121">
        <f t="shared" si="42"/>
        <v>0</v>
      </c>
      <c r="F185" s="121">
        <f t="shared" si="43"/>
        <v>0</v>
      </c>
      <c r="G185" s="69">
        <f>Request!L16</f>
        <v>12</v>
      </c>
      <c r="H185" s="69" t="e">
        <f>IF(#REF!="No",(Request!F16*B185/12*Request!$L16),(Request!F16*Worksheet!B185))</f>
        <v>#REF!</v>
      </c>
      <c r="I185" s="69" t="e">
        <f>IF(#REF!="No",(Request!G16*C185/12*Request!$L16),(Request!G16*Worksheet!C185))</f>
        <v>#REF!</v>
      </c>
      <c r="J185" s="69" t="e">
        <f>IF(#REF!="No",(Request!H16*D185/12*Request!$L16),(Request!H16*Worksheet!D185))</f>
        <v>#REF!</v>
      </c>
      <c r="K185" s="69" t="e">
        <f>IF(#REF!="No",(Request!I16*E185/12*Request!$L16),(Request!I16*Worksheet!E185))</f>
        <v>#REF!</v>
      </c>
      <c r="L185" s="69" t="e">
        <f>IF(#REF!="No",(Request!J16*F185/12*Request!$L16),(Request!J16*Worksheet!F185))</f>
        <v>#REF!</v>
      </c>
    </row>
    <row r="186" spans="1:12" x14ac:dyDescent="0.2">
      <c r="A186" s="40">
        <f>Request!B17</f>
        <v>0</v>
      </c>
      <c r="B186" s="121">
        <f t="shared" si="39"/>
        <v>12</v>
      </c>
      <c r="C186" s="121">
        <f t="shared" si="40"/>
        <v>0</v>
      </c>
      <c r="D186" s="121">
        <f t="shared" si="41"/>
        <v>0</v>
      </c>
      <c r="E186" s="121">
        <f t="shared" si="42"/>
        <v>0</v>
      </c>
      <c r="F186" s="121">
        <f t="shared" si="43"/>
        <v>0</v>
      </c>
      <c r="G186" s="69">
        <f>Request!L17</f>
        <v>12</v>
      </c>
      <c r="H186" s="69" t="e">
        <f>IF(#REF!="No",(Request!F17*B186/12*Request!$L17),(Request!F17*Worksheet!B186))</f>
        <v>#REF!</v>
      </c>
      <c r="I186" s="69" t="e">
        <f>IF(#REF!="No",(Request!G17*C186/12*Request!$L17),(Request!G17*Worksheet!C186))</f>
        <v>#REF!</v>
      </c>
      <c r="J186" s="69" t="e">
        <f>IF(#REF!="No",(Request!H17*D186/12*Request!$L17),(Request!H17*Worksheet!D186))</f>
        <v>#REF!</v>
      </c>
      <c r="K186" s="69" t="e">
        <f>IF(#REF!="No",(Request!I17*E186/12*Request!$L17),(Request!I17*Worksheet!E186))</f>
        <v>#REF!</v>
      </c>
      <c r="L186" s="69" t="e">
        <f>IF(#REF!="No",(Request!J17*F186/12*Request!$L17),(Request!J17*Worksheet!F186))</f>
        <v>#REF!</v>
      </c>
    </row>
    <row r="187" spans="1:12" x14ac:dyDescent="0.2">
      <c r="A187" s="40">
        <f>Request!B18</f>
        <v>0</v>
      </c>
      <c r="B187" s="121">
        <f t="shared" si="39"/>
        <v>12</v>
      </c>
      <c r="C187" s="121">
        <f t="shared" si="40"/>
        <v>0</v>
      </c>
      <c r="D187" s="121">
        <f t="shared" si="41"/>
        <v>0</v>
      </c>
      <c r="E187" s="121">
        <f t="shared" si="42"/>
        <v>0</v>
      </c>
      <c r="F187" s="121">
        <f t="shared" si="43"/>
        <v>0</v>
      </c>
      <c r="G187" s="69">
        <f>Request!L18</f>
        <v>12</v>
      </c>
      <c r="H187" s="69" t="e">
        <f>IF(#REF!="No",(Request!F18*B187/12*Request!$L18),(Request!F18*Worksheet!B187))</f>
        <v>#REF!</v>
      </c>
      <c r="I187" s="69" t="e">
        <f>IF(#REF!="No",(Request!G18*C187/12*Request!$L18),(Request!G18*Worksheet!C187))</f>
        <v>#REF!</v>
      </c>
      <c r="J187" s="69" t="e">
        <f>IF(#REF!="No",(Request!H18*D187/12*Request!$L18),(Request!H18*Worksheet!D187))</f>
        <v>#REF!</v>
      </c>
      <c r="K187" s="69" t="e">
        <f>IF(#REF!="No",(Request!I18*E187/12*Request!$L18),(Request!I18*Worksheet!E187))</f>
        <v>#REF!</v>
      </c>
      <c r="L187" s="69" t="e">
        <f>IF(#REF!="No",(Request!J18*F187/12*Request!$L18),(Request!J18*Worksheet!F187))</f>
        <v>#REF!</v>
      </c>
    </row>
    <row r="188" spans="1:12" x14ac:dyDescent="0.2">
      <c r="A188" s="40">
        <f>Request!B19</f>
        <v>0</v>
      </c>
      <c r="B188" s="121">
        <f t="shared" si="39"/>
        <v>12</v>
      </c>
      <c r="C188" s="121">
        <f t="shared" si="40"/>
        <v>0</v>
      </c>
      <c r="D188" s="121">
        <f t="shared" si="41"/>
        <v>0</v>
      </c>
      <c r="E188" s="121">
        <f t="shared" si="42"/>
        <v>0</v>
      </c>
      <c r="F188" s="121">
        <f t="shared" si="43"/>
        <v>0</v>
      </c>
      <c r="G188" s="69">
        <f>Request!L19</f>
        <v>12</v>
      </c>
      <c r="H188" s="69" t="e">
        <f>IF(#REF!="No",(Request!F19*B188/12*Request!$L19),(Request!F19*Worksheet!B188))</f>
        <v>#REF!</v>
      </c>
      <c r="I188" s="69" t="e">
        <f>IF(#REF!="No",(Request!G19*C188/12*Request!$L19),(Request!G19*Worksheet!C188))</f>
        <v>#REF!</v>
      </c>
      <c r="J188" s="69" t="e">
        <f>IF(#REF!="No",(Request!H19*D188/12*Request!$L19),(Request!H19*Worksheet!D188))</f>
        <v>#REF!</v>
      </c>
      <c r="K188" s="69" t="e">
        <f>IF(#REF!="No",(Request!I19*E188/12*Request!$L19),(Request!I19*Worksheet!E188))</f>
        <v>#REF!</v>
      </c>
      <c r="L188" s="69" t="e">
        <f>IF(#REF!="No",(Request!J19*F188/12*Request!$L19),(Request!J19*Worksheet!F188))</f>
        <v>#REF!</v>
      </c>
    </row>
    <row r="189" spans="1:12" x14ac:dyDescent="0.2">
      <c r="A189" s="40">
        <f>Request!B20</f>
        <v>0</v>
      </c>
      <c r="B189" s="121">
        <f t="shared" si="39"/>
        <v>12</v>
      </c>
      <c r="C189" s="121">
        <f t="shared" si="40"/>
        <v>0</v>
      </c>
      <c r="D189" s="121">
        <f t="shared" si="41"/>
        <v>0</v>
      </c>
      <c r="E189" s="121">
        <f t="shared" si="42"/>
        <v>0</v>
      </c>
      <c r="F189" s="121">
        <f t="shared" si="43"/>
        <v>0</v>
      </c>
      <c r="G189" s="69">
        <f>Request!L20</f>
        <v>12</v>
      </c>
      <c r="H189" s="69" t="e">
        <f>IF(#REF!="No",(Request!F20*B189/12*Request!$L20),(Request!F20*Worksheet!B189))</f>
        <v>#REF!</v>
      </c>
      <c r="I189" s="69" t="e">
        <f>IF(#REF!="No",(Request!G20*C189/12*Request!$L20),(Request!G20*Worksheet!C189))</f>
        <v>#REF!</v>
      </c>
      <c r="J189" s="69" t="e">
        <f>IF(#REF!="No",(Request!H20*D189/12*Request!$L20),(Request!H20*Worksheet!D189))</f>
        <v>#REF!</v>
      </c>
      <c r="K189" s="69" t="e">
        <f>IF(#REF!="No",(Request!I20*E189/12*Request!$L20),(Request!I20*Worksheet!E189))</f>
        <v>#REF!</v>
      </c>
      <c r="L189" s="69" t="e">
        <f>IF(#REF!="No",(Request!J20*F189/12*Request!$L20),(Request!J20*Worksheet!F189))</f>
        <v>#REF!</v>
      </c>
    </row>
    <row r="190" spans="1:12" x14ac:dyDescent="0.2">
      <c r="A190" s="40">
        <f>Request!B21</f>
        <v>0</v>
      </c>
      <c r="B190" s="121">
        <f t="shared" si="39"/>
        <v>12</v>
      </c>
      <c r="C190" s="121">
        <f t="shared" si="40"/>
        <v>0</v>
      </c>
      <c r="D190" s="121">
        <f t="shared" si="41"/>
        <v>0</v>
      </c>
      <c r="E190" s="121">
        <f t="shared" si="42"/>
        <v>0</v>
      </c>
      <c r="F190" s="121">
        <f t="shared" si="43"/>
        <v>0</v>
      </c>
      <c r="G190" s="69">
        <f>Request!L21</f>
        <v>12</v>
      </c>
      <c r="H190" s="69" t="e">
        <f>IF(#REF!="No",(Request!F21*B190/12*Request!$L21),(Request!F21*Worksheet!B190))</f>
        <v>#REF!</v>
      </c>
      <c r="I190" s="69" t="e">
        <f>IF(#REF!="No",(Request!G21*C190/12*Request!$L21),(Request!G21*Worksheet!C190))</f>
        <v>#REF!</v>
      </c>
      <c r="J190" s="69" t="e">
        <f>IF(#REF!="No",(Request!H21*D190/12*Request!$L21),(Request!H21*Worksheet!D190))</f>
        <v>#REF!</v>
      </c>
      <c r="K190" s="69" t="e">
        <f>IF(#REF!="No",(Request!I21*E190/12*Request!$L21),(Request!I21*Worksheet!E190))</f>
        <v>#REF!</v>
      </c>
      <c r="L190" s="69" t="e">
        <f>IF(#REF!="No",(Request!J21*F190/12*Request!$L21),(Request!J21*Worksheet!F190))</f>
        <v>#REF!</v>
      </c>
    </row>
    <row r="191" spans="1:12" x14ac:dyDescent="0.2">
      <c r="A191" s="40">
        <f>Request!B22</f>
        <v>0</v>
      </c>
      <c r="B191" s="121">
        <f t="shared" si="39"/>
        <v>12</v>
      </c>
      <c r="C191" s="121">
        <f t="shared" si="40"/>
        <v>0</v>
      </c>
      <c r="D191" s="121">
        <f t="shared" si="41"/>
        <v>0</v>
      </c>
      <c r="E191" s="121">
        <f t="shared" si="42"/>
        <v>0</v>
      </c>
      <c r="F191" s="121">
        <f t="shared" si="43"/>
        <v>0</v>
      </c>
      <c r="G191" s="69">
        <f>Request!L22</f>
        <v>12</v>
      </c>
      <c r="H191" s="69" t="e">
        <f>IF(#REF!="No",(Request!F22*B191/12*Request!$L22),(Request!F22*Worksheet!B191))</f>
        <v>#REF!</v>
      </c>
      <c r="I191" s="69" t="e">
        <f>IF(#REF!="No",(Request!G22*C191/12*Request!$L22),(Request!G22*Worksheet!C191))</f>
        <v>#REF!</v>
      </c>
      <c r="J191" s="69" t="e">
        <f>IF(#REF!="No",(Request!H22*D191/12*Request!$L22),(Request!H22*Worksheet!D191))</f>
        <v>#REF!</v>
      </c>
      <c r="K191" s="69" t="e">
        <f>IF(#REF!="No",(Request!I22*E191/12*Request!$L22),(Request!I22*Worksheet!E191))</f>
        <v>#REF!</v>
      </c>
      <c r="L191" s="69" t="e">
        <f>IF(#REF!="No",(Request!J22*F191/12*Request!$L22),(Request!J22*Worksheet!F191))</f>
        <v>#REF!</v>
      </c>
    </row>
    <row r="192" spans="1:12" x14ac:dyDescent="0.2">
      <c r="A192" s="40">
        <f>Request!B23</f>
        <v>0</v>
      </c>
      <c r="B192" s="121">
        <f t="shared" si="39"/>
        <v>12</v>
      </c>
      <c r="C192" s="121">
        <f t="shared" si="40"/>
        <v>0</v>
      </c>
      <c r="D192" s="121">
        <f t="shared" si="41"/>
        <v>0</v>
      </c>
      <c r="E192" s="121">
        <f t="shared" si="42"/>
        <v>0</v>
      </c>
      <c r="F192" s="121">
        <f t="shared" si="43"/>
        <v>0</v>
      </c>
      <c r="G192" s="69">
        <f>Request!L23</f>
        <v>12</v>
      </c>
      <c r="H192" s="69" t="e">
        <f>IF(#REF!="No",(Request!F23*B192/12*Request!$L23),(Request!F23*Worksheet!B192))</f>
        <v>#REF!</v>
      </c>
      <c r="I192" s="69" t="e">
        <f>IF(#REF!="No",(Request!G23*C192/12*Request!$L23),(Request!G23*Worksheet!C192))</f>
        <v>#REF!</v>
      </c>
      <c r="J192" s="69" t="e">
        <f>IF(#REF!="No",(Request!H23*D192/12*Request!$L23),(Request!H23*Worksheet!D192))</f>
        <v>#REF!</v>
      </c>
      <c r="K192" s="69" t="e">
        <f>IF(#REF!="No",(Request!I23*E192/12*Request!$L23),(Request!I23*Worksheet!E192))</f>
        <v>#REF!</v>
      </c>
      <c r="L192" s="69" t="e">
        <f>IF(#REF!="No",(Request!J23*F192/12*Request!$L23),(Request!J23*Worksheet!F192))</f>
        <v>#REF!</v>
      </c>
    </row>
    <row r="193" spans="1:12" x14ac:dyDescent="0.2">
      <c r="A193" s="40">
        <f>Request!B24</f>
        <v>0</v>
      </c>
      <c r="B193" s="121">
        <f t="shared" si="39"/>
        <v>12</v>
      </c>
      <c r="C193" s="121">
        <f t="shared" si="40"/>
        <v>0</v>
      </c>
      <c r="D193" s="121">
        <f t="shared" si="41"/>
        <v>0</v>
      </c>
      <c r="E193" s="121">
        <f t="shared" si="42"/>
        <v>0</v>
      </c>
      <c r="F193" s="121">
        <f t="shared" si="43"/>
        <v>0</v>
      </c>
      <c r="G193" s="69">
        <f>Request!L24</f>
        <v>12</v>
      </c>
      <c r="H193" s="69" t="e">
        <f>IF(#REF!="No",(Request!F24*B193/12*Request!$L24),(Request!F24*Worksheet!B193))</f>
        <v>#REF!</v>
      </c>
      <c r="I193" s="69" t="e">
        <f>IF(#REF!="No",(Request!G24*C193/12*Request!$L24),(Request!G24*Worksheet!C193))</f>
        <v>#REF!</v>
      </c>
      <c r="J193" s="69" t="e">
        <f>IF(#REF!="No",(Request!H24*D193/12*Request!$L24),(Request!H24*Worksheet!D193))</f>
        <v>#REF!</v>
      </c>
      <c r="K193" s="69" t="e">
        <f>IF(#REF!="No",(Request!I24*E193/12*Request!$L24),(Request!I24*Worksheet!E193))</f>
        <v>#REF!</v>
      </c>
      <c r="L193" s="69" t="e">
        <f>IF(#REF!="No",(Request!J24*F193/12*Request!$L24),(Request!J24*Worksheet!F193))</f>
        <v>#REF!</v>
      </c>
    </row>
    <row r="194" spans="1:12" x14ac:dyDescent="0.2">
      <c r="A194" s="40">
        <f>Request!B25</f>
        <v>0</v>
      </c>
      <c r="B194" s="121">
        <f t="shared" si="39"/>
        <v>12</v>
      </c>
      <c r="C194" s="121">
        <f t="shared" si="40"/>
        <v>0</v>
      </c>
      <c r="D194" s="121">
        <f t="shared" si="41"/>
        <v>0</v>
      </c>
      <c r="E194" s="121">
        <f t="shared" si="42"/>
        <v>0</v>
      </c>
      <c r="F194" s="121">
        <f t="shared" si="43"/>
        <v>0</v>
      </c>
      <c r="G194" s="69">
        <f>Request!L25</f>
        <v>12</v>
      </c>
      <c r="H194" s="69" t="e">
        <f>IF(#REF!="No",(Request!F25*B194/12*Request!$L25),(Request!F25*Worksheet!B194))</f>
        <v>#REF!</v>
      </c>
      <c r="I194" s="69" t="e">
        <f>IF(#REF!="No",(Request!G25*C194/12*Request!$L25),(Request!G25*Worksheet!C194))</f>
        <v>#REF!</v>
      </c>
      <c r="J194" s="69" t="e">
        <f>IF(#REF!="No",(Request!H25*D194/12*Request!$L25),(Request!H25*Worksheet!D194))</f>
        <v>#REF!</v>
      </c>
      <c r="K194" s="69" t="e">
        <f>IF(#REF!="No",(Request!I25*E194/12*Request!$L25),(Request!I25*Worksheet!E194))</f>
        <v>#REF!</v>
      </c>
      <c r="L194" s="69" t="e">
        <f>IF(#REF!="No",(Request!J25*F194/12*Request!$L25),(Request!J25*Worksheet!F194))</f>
        <v>#REF!</v>
      </c>
    </row>
    <row r="195" spans="1:12" x14ac:dyDescent="0.2">
      <c r="A195" s="40">
        <f>Request!B26</f>
        <v>0</v>
      </c>
      <c r="B195" s="121">
        <f t="shared" si="39"/>
        <v>12</v>
      </c>
      <c r="C195" s="121">
        <f t="shared" si="40"/>
        <v>0</v>
      </c>
      <c r="D195" s="121">
        <f t="shared" si="41"/>
        <v>0</v>
      </c>
      <c r="E195" s="121">
        <f t="shared" si="42"/>
        <v>0</v>
      </c>
      <c r="F195" s="121">
        <f t="shared" si="43"/>
        <v>0</v>
      </c>
      <c r="G195" s="69">
        <f>Request!L26</f>
        <v>12</v>
      </c>
      <c r="H195" s="69" t="e">
        <f>IF(#REF!="No",(Request!F26*B195/12*Request!$L26),(Request!F26*Worksheet!B195))</f>
        <v>#REF!</v>
      </c>
      <c r="I195" s="69" t="e">
        <f>IF(#REF!="No",(Request!G26*C195/12*Request!$L26),(Request!G26*Worksheet!C195))</f>
        <v>#REF!</v>
      </c>
      <c r="J195" s="69" t="e">
        <f>IF(#REF!="No",(Request!H26*D195/12*Request!$L26),(Request!H26*Worksheet!D195))</f>
        <v>#REF!</v>
      </c>
      <c r="K195" s="69" t="e">
        <f>IF(#REF!="No",(Request!I26*E195/12*Request!$L26),(Request!I26*Worksheet!E195))</f>
        <v>#REF!</v>
      </c>
      <c r="L195" s="69" t="e">
        <f>IF(#REF!="No",(Request!J26*F195/12*Request!$L26),(Request!J26*Worksheet!F195))</f>
        <v>#REF!</v>
      </c>
    </row>
    <row r="196" spans="1:12" x14ac:dyDescent="0.2">
      <c r="A196" s="40">
        <f>Request!B27</f>
        <v>0</v>
      </c>
      <c r="B196" s="121">
        <f t="shared" si="39"/>
        <v>12</v>
      </c>
      <c r="C196" s="121">
        <f t="shared" si="40"/>
        <v>0</v>
      </c>
      <c r="D196" s="121">
        <f t="shared" si="41"/>
        <v>0</v>
      </c>
      <c r="E196" s="121">
        <f t="shared" si="42"/>
        <v>0</v>
      </c>
      <c r="F196" s="121">
        <f t="shared" si="43"/>
        <v>0</v>
      </c>
      <c r="G196" s="69">
        <f>Request!L27</f>
        <v>12</v>
      </c>
      <c r="H196" s="69" t="e">
        <f>IF(#REF!="No",(Request!F27*B196/12*Request!$L27),(Request!F27*Worksheet!B196))</f>
        <v>#REF!</v>
      </c>
      <c r="I196" s="69" t="e">
        <f>IF(#REF!="No",(Request!G27*C196/12*Request!$L27),(Request!G27*Worksheet!C196))</f>
        <v>#REF!</v>
      </c>
      <c r="J196" s="69" t="e">
        <f>IF(#REF!="No",(Request!H27*D196/12*Request!$L27),(Request!H27*Worksheet!D196))</f>
        <v>#REF!</v>
      </c>
      <c r="K196" s="69" t="e">
        <f>IF(#REF!="No",(Request!I27*E196/12*Request!$L27),(Request!I27*Worksheet!E196))</f>
        <v>#REF!</v>
      </c>
      <c r="L196" s="69" t="e">
        <f>IF(#REF!="No",(Request!J27*F196/12*Request!$L27),(Request!J27*Worksheet!F196))</f>
        <v>#REF!</v>
      </c>
    </row>
    <row r="197" spans="1:12" x14ac:dyDescent="0.2">
      <c r="A197" s="40">
        <f>Request!B28</f>
        <v>0</v>
      </c>
      <c r="B197" s="121">
        <f t="shared" si="39"/>
        <v>12</v>
      </c>
      <c r="C197" s="121">
        <f t="shared" si="40"/>
        <v>0</v>
      </c>
      <c r="D197" s="121">
        <f t="shared" si="41"/>
        <v>0</v>
      </c>
      <c r="E197" s="121">
        <f t="shared" si="42"/>
        <v>0</v>
      </c>
      <c r="F197" s="121">
        <f t="shared" si="43"/>
        <v>0</v>
      </c>
      <c r="G197" s="69">
        <f>Request!L28</f>
        <v>12</v>
      </c>
      <c r="H197" s="69" t="e">
        <f>IF(#REF!="No",(Request!F28*B197/12*Request!$L28),(Request!F28*Worksheet!B197))</f>
        <v>#REF!</v>
      </c>
      <c r="I197" s="69" t="e">
        <f>IF(#REF!="No",(Request!G28*C197/12*Request!$L28),(Request!G28*Worksheet!C197))</f>
        <v>#REF!</v>
      </c>
      <c r="J197" s="69" t="e">
        <f>IF(#REF!="No",(Request!H28*D197/12*Request!$L28),(Request!H28*Worksheet!D197))</f>
        <v>#REF!</v>
      </c>
      <c r="K197" s="69" t="e">
        <f>IF(#REF!="No",(Request!I28*E197/12*Request!$L28),(Request!I28*Worksheet!E197))</f>
        <v>#REF!</v>
      </c>
      <c r="L197" s="69" t="e">
        <f>IF(#REF!="No",(Request!J28*F197/12*Request!$L28),(Request!J28*Worksheet!F197))</f>
        <v>#REF!</v>
      </c>
    </row>
    <row r="198" spans="1:12" x14ac:dyDescent="0.2">
      <c r="A198" s="40">
        <f>Request!B29</f>
        <v>0</v>
      </c>
      <c r="B198" s="121">
        <f t="shared" si="39"/>
        <v>12</v>
      </c>
      <c r="C198" s="121">
        <f t="shared" si="40"/>
        <v>0</v>
      </c>
      <c r="D198" s="121">
        <f t="shared" si="41"/>
        <v>0</v>
      </c>
      <c r="E198" s="121">
        <f t="shared" si="42"/>
        <v>0</v>
      </c>
      <c r="F198" s="121">
        <f t="shared" si="43"/>
        <v>0</v>
      </c>
      <c r="G198" s="69">
        <f>Request!L29</f>
        <v>12</v>
      </c>
      <c r="H198" s="69" t="e">
        <f>IF(#REF!="No",(Request!F29*B198/12*Request!$L29),(Request!F29*Worksheet!B198))</f>
        <v>#REF!</v>
      </c>
      <c r="I198" s="69" t="e">
        <f>IF(#REF!="No",(Request!G29*C198/12*Request!$L29),(Request!G29*Worksheet!C198))</f>
        <v>#REF!</v>
      </c>
      <c r="J198" s="69" t="e">
        <f>IF(#REF!="No",(Request!H29*D198/12*Request!$L29),(Request!H29*Worksheet!D198))</f>
        <v>#REF!</v>
      </c>
      <c r="K198" s="69" t="e">
        <f>IF(#REF!="No",(Request!I29*E198/12*Request!$L29),(Request!I29*Worksheet!E198))</f>
        <v>#REF!</v>
      </c>
      <c r="L198" s="69" t="e">
        <f>IF(#REF!="No",(Request!J29*F198/12*Request!$L29),(Request!J29*Worksheet!F198))</f>
        <v>#REF!</v>
      </c>
    </row>
    <row r="199" spans="1:12" x14ac:dyDescent="0.2">
      <c r="A199" s="40">
        <f>Request!B30</f>
        <v>0</v>
      </c>
      <c r="B199" s="121">
        <f t="shared" si="39"/>
        <v>12</v>
      </c>
      <c r="C199" s="121">
        <f t="shared" si="40"/>
        <v>0</v>
      </c>
      <c r="D199" s="121">
        <f t="shared" si="41"/>
        <v>0</v>
      </c>
      <c r="E199" s="121">
        <f t="shared" si="42"/>
        <v>0</v>
      </c>
      <c r="F199" s="121">
        <f t="shared" si="43"/>
        <v>0</v>
      </c>
      <c r="G199" s="69">
        <f>Request!L30</f>
        <v>12</v>
      </c>
      <c r="H199" s="69" t="e">
        <f>IF(#REF!="No",(Request!F30*B199/12*Request!$L30),(Request!F30*Worksheet!B199))</f>
        <v>#REF!</v>
      </c>
      <c r="I199" s="69" t="e">
        <f>IF(#REF!="No",(Request!G30*C199/12*Request!$L30),(Request!G30*Worksheet!C199))</f>
        <v>#REF!</v>
      </c>
      <c r="J199" s="69" t="e">
        <f>IF(#REF!="No",(Request!H30*D199/12*Request!$L30),(Request!H30*Worksheet!D199))</f>
        <v>#REF!</v>
      </c>
      <c r="K199" s="69" t="e">
        <f>IF(#REF!="No",(Request!I30*E199/12*Request!$L30),(Request!I30*Worksheet!E199))</f>
        <v>#REF!</v>
      </c>
      <c r="L199" s="69" t="e">
        <f>IF(#REF!="No",(Request!J30*F199/12*Request!$L30),(Request!J30*Worksheet!F199))</f>
        <v>#REF!</v>
      </c>
    </row>
    <row r="200" spans="1:12" x14ac:dyDescent="0.2">
      <c r="A200" s="40">
        <f>Request!B31</f>
        <v>0</v>
      </c>
      <c r="B200" s="121">
        <f t="shared" si="39"/>
        <v>12</v>
      </c>
      <c r="C200" s="121">
        <f t="shared" si="40"/>
        <v>0</v>
      </c>
      <c r="D200" s="121">
        <f t="shared" si="41"/>
        <v>0</v>
      </c>
      <c r="E200" s="121">
        <f t="shared" si="42"/>
        <v>0</v>
      </c>
      <c r="F200" s="121">
        <f t="shared" si="43"/>
        <v>0</v>
      </c>
      <c r="G200" s="69">
        <f>Request!L31</f>
        <v>12</v>
      </c>
      <c r="H200" s="69" t="e">
        <f>IF(#REF!="No",(Request!F31*B200/12*Request!$L31),(Request!F31*Worksheet!B200))</f>
        <v>#REF!</v>
      </c>
      <c r="I200" s="69" t="e">
        <f>IF(#REF!="No",(Request!G31*C200/12*Request!$L31),(Request!G31*Worksheet!C200))</f>
        <v>#REF!</v>
      </c>
      <c r="J200" s="69" t="e">
        <f>IF(#REF!="No",(Request!H31*D200/12*Request!$L31),(Request!H31*Worksheet!D200))</f>
        <v>#REF!</v>
      </c>
      <c r="K200" s="69" t="e">
        <f>IF(#REF!="No",(Request!I31*E200/12*Request!$L31),(Request!I31*Worksheet!E200))</f>
        <v>#REF!</v>
      </c>
      <c r="L200" s="69" t="e">
        <f>IF(#REF!="No",(Request!J31*F200/12*Request!$L31),(Request!J31*Worksheet!F200))</f>
        <v>#REF!</v>
      </c>
    </row>
    <row r="203" spans="1:12" x14ac:dyDescent="0.2">
      <c r="A203" s="1" t="s">
        <v>139</v>
      </c>
      <c r="E203" s="6" t="s">
        <v>8</v>
      </c>
      <c r="F203" s="6" t="s">
        <v>9</v>
      </c>
      <c r="G203" s="6" t="s">
        <v>10</v>
      </c>
      <c r="H203" s="6" t="s">
        <v>23</v>
      </c>
      <c r="I203" s="6" t="s">
        <v>11</v>
      </c>
    </row>
    <row r="204" spans="1:12" x14ac:dyDescent="0.2">
      <c r="A204" s="218" t="s">
        <v>136</v>
      </c>
      <c r="B204" s="220" t="s">
        <v>140</v>
      </c>
      <c r="C204" s="220"/>
      <c r="D204" s="221"/>
      <c r="E204" s="108">
        <f>C13</f>
        <v>3</v>
      </c>
      <c r="F204" s="108">
        <f t="shared" ref="F204:H204" si="44">D13</f>
        <v>0</v>
      </c>
      <c r="G204" s="108">
        <f t="shared" si="44"/>
        <v>0</v>
      </c>
      <c r="H204" s="108">
        <f t="shared" si="44"/>
        <v>0</v>
      </c>
      <c r="I204" s="108">
        <f>G13</f>
        <v>0</v>
      </c>
    </row>
    <row r="205" spans="1:12" x14ac:dyDescent="0.2">
      <c r="A205" s="219"/>
      <c r="B205" s="220" t="s">
        <v>141</v>
      </c>
      <c r="C205" s="220"/>
      <c r="D205" s="221"/>
      <c r="E205" s="108">
        <f>C14</f>
        <v>0</v>
      </c>
      <c r="F205" s="108">
        <f t="shared" ref="F205:H205" si="45">D14</f>
        <v>0</v>
      </c>
      <c r="G205" s="108">
        <f t="shared" si="45"/>
        <v>0</v>
      </c>
      <c r="H205" s="108">
        <f t="shared" si="45"/>
        <v>0</v>
      </c>
      <c r="I205" s="108">
        <f>G14</f>
        <v>0</v>
      </c>
    </row>
    <row r="206" spans="1:12" x14ac:dyDescent="0.2">
      <c r="A206" s="218" t="s">
        <v>137</v>
      </c>
      <c r="B206" s="220" t="s">
        <v>140</v>
      </c>
      <c r="C206" s="220"/>
      <c r="D206" s="221"/>
      <c r="E206" s="4">
        <f>IF(AND(MONTH(C2)=9,DAY(C2)&lt;=5),0.5,IF(AND(MONTH(C2)=7,DAY(C2)&lt;=5),2.5,IF(AND(MONTH(C2)=7,DAY(C2)&gt;5),2,IF(AND(MONTH(C2)=8,DAY(C2)&lt;=5),1.5,IF(AND(MONTH(C2)=8,DAY(C2)&gt;5),1,0)))))</f>
        <v>2.5</v>
      </c>
      <c r="F206" s="4" t="e">
        <f t="shared" ref="F206:H206" si="46">IF(AND(MONTH(D2)=9,DAY(D2)&lt;=5),0.5,IF(AND(MONTH(D2)=7,DAY(D2)&lt;=5),2.5,IF(AND(MONTH(D2)=7,DAY(D2)&gt;5),2,IF(AND(MONTH(D2)=8,DAY(D2)&lt;=5),1.5,IF(AND(MONTH(D2)=8,DAY(D2)&gt;5),1,0)))))</f>
        <v>#VALUE!</v>
      </c>
      <c r="G206" s="4" t="e">
        <f t="shared" si="46"/>
        <v>#VALUE!</v>
      </c>
      <c r="H206" s="4" t="e">
        <f t="shared" si="46"/>
        <v>#VALUE!</v>
      </c>
      <c r="I206" s="4" t="e">
        <f>IF(AND(MONTH(G2)=9,DAY(G2)&lt;=5),0.5,IF(AND(MONTH(G2)=7,DAY(G2)&lt;=5),2.5,IF(AND(MONTH(G2)=7,DAY(G2)&gt;5),2,IF(AND(MONTH(G2)=8,DAY(G2)&lt;=5),1.5,IF(AND(MONTH(G2)=8,DAY(G2)&gt;5),1,0)))))</f>
        <v>#VALUE!</v>
      </c>
    </row>
    <row r="207" spans="1:12" x14ac:dyDescent="0.2">
      <c r="A207" s="219"/>
      <c r="B207" s="220" t="s">
        <v>141</v>
      </c>
      <c r="C207" s="220"/>
      <c r="D207" s="221"/>
      <c r="E207" s="4">
        <f>2.5-E206</f>
        <v>0</v>
      </c>
      <c r="F207" s="4">
        <f>IF(D4="",0,2.5-F206)</f>
        <v>0</v>
      </c>
      <c r="G207" s="4">
        <f t="shared" ref="G207:I207" si="47">IF(E4="",0,2.5-G206)</f>
        <v>0</v>
      </c>
      <c r="H207" s="4">
        <f t="shared" si="47"/>
        <v>0</v>
      </c>
      <c r="I207" s="4">
        <f t="shared" si="47"/>
        <v>0</v>
      </c>
    </row>
    <row r="208" spans="1:12" x14ac:dyDescent="0.2">
      <c r="A208" s="218" t="s">
        <v>138</v>
      </c>
      <c r="B208" s="220" t="s">
        <v>140</v>
      </c>
      <c r="C208" s="220"/>
      <c r="D208" s="221"/>
      <c r="E208" s="4">
        <f>IF(AND(MONTH(C2)=7,DAY(C2)&lt;=5),2,IF(AND(MONTH(C2)=7,DAY(C2)&gt;5),1.5,IF(AND(MONTH(C2)=8,DAY(C2)&lt;=5),1,IF(AND(MONTH(C2)=8,DAY(C2)&gt;5),0.5,0))))</f>
        <v>2</v>
      </c>
      <c r="F208" s="4" t="e">
        <f t="shared" ref="F208:I208" si="48">IF(AND(MONTH(D2)=7,DAY(D2)&lt;=5),2,IF(AND(MONTH(D2)=7,DAY(D2)&gt;5),1.5,IF(AND(MONTH(D2)=8,DAY(D2)&lt;=5),1,IF(AND(MONTH(D2)=8,DAY(D2)&gt;5),0.5,0))))</f>
        <v>#VALUE!</v>
      </c>
      <c r="G208" s="4" t="e">
        <f t="shared" si="48"/>
        <v>#VALUE!</v>
      </c>
      <c r="H208" s="4" t="e">
        <f t="shared" si="48"/>
        <v>#VALUE!</v>
      </c>
      <c r="I208" s="4" t="e">
        <f t="shared" si="48"/>
        <v>#VALUE!</v>
      </c>
    </row>
    <row r="209" spans="1:12" x14ac:dyDescent="0.2">
      <c r="A209" s="219"/>
      <c r="B209" s="220" t="s">
        <v>141</v>
      </c>
      <c r="C209" s="220"/>
      <c r="D209" s="221"/>
      <c r="E209" s="4">
        <f>2-E208</f>
        <v>0</v>
      </c>
      <c r="F209" s="4">
        <f>IF(D4="",0,2-F208)</f>
        <v>0</v>
      </c>
      <c r="G209" s="4">
        <f t="shared" ref="G209:I209" si="49">IF(E4="",0,2-G208)</f>
        <v>0</v>
      </c>
      <c r="H209" s="4">
        <f t="shared" si="49"/>
        <v>0</v>
      </c>
      <c r="I209" s="4">
        <f t="shared" si="49"/>
        <v>0</v>
      </c>
    </row>
    <row r="210" spans="1:12" x14ac:dyDescent="0.2">
      <c r="A210" s="218" t="s">
        <v>137</v>
      </c>
      <c r="B210" s="220" t="s">
        <v>142</v>
      </c>
      <c r="C210" s="220"/>
      <c r="D210" s="221"/>
      <c r="E210" s="110">
        <f>IF(E206&gt;C9,C9,E206)</f>
        <v>2.5</v>
      </c>
      <c r="F210" s="110" t="e">
        <f>IF(F206&gt;D9,D9,F206)</f>
        <v>#VALUE!</v>
      </c>
      <c r="G210" s="110" t="e">
        <f t="shared" ref="G210:I210" si="50">IF(G206&gt;E9,E9,G206)</f>
        <v>#VALUE!</v>
      </c>
      <c r="H210" s="110" t="e">
        <f t="shared" si="50"/>
        <v>#VALUE!</v>
      </c>
      <c r="I210" s="110" t="e">
        <f t="shared" si="50"/>
        <v>#VALUE!</v>
      </c>
    </row>
    <row r="211" spans="1:12" x14ac:dyDescent="0.2">
      <c r="A211" s="219"/>
      <c r="B211" s="220" t="s">
        <v>143</v>
      </c>
      <c r="C211" s="220"/>
      <c r="D211" s="221"/>
      <c r="E211" s="110">
        <f>IF(E207&gt;C10,C10,E207)</f>
        <v>0</v>
      </c>
      <c r="F211" s="110">
        <f t="shared" ref="F211:I211" si="51">IF(F207&gt;D10,D10,F207)</f>
        <v>0</v>
      </c>
      <c r="G211" s="110">
        <f t="shared" si="51"/>
        <v>0</v>
      </c>
      <c r="H211" s="110">
        <f t="shared" si="51"/>
        <v>0</v>
      </c>
      <c r="I211" s="110">
        <f t="shared" si="51"/>
        <v>0</v>
      </c>
    </row>
    <row r="212" spans="1:12" x14ac:dyDescent="0.2">
      <c r="A212" s="218" t="s">
        <v>138</v>
      </c>
      <c r="B212" s="220" t="s">
        <v>144</v>
      </c>
      <c r="C212" s="220"/>
      <c r="D212" s="221"/>
      <c r="E212" s="110">
        <f>IF(E208&gt;C9,C9,E208)</f>
        <v>2</v>
      </c>
      <c r="F212" s="110" t="e">
        <f t="shared" ref="F212:I212" si="52">IF(F208&gt;D9,D9,F208)</f>
        <v>#VALUE!</v>
      </c>
      <c r="G212" s="110" t="e">
        <f t="shared" si="52"/>
        <v>#VALUE!</v>
      </c>
      <c r="H212" s="110" t="e">
        <f t="shared" si="52"/>
        <v>#VALUE!</v>
      </c>
      <c r="I212" s="110" t="e">
        <f t="shared" si="52"/>
        <v>#VALUE!</v>
      </c>
    </row>
    <row r="213" spans="1:12" x14ac:dyDescent="0.2">
      <c r="A213" s="219"/>
      <c r="B213" s="220" t="s">
        <v>143</v>
      </c>
      <c r="C213" s="220"/>
      <c r="D213" s="221"/>
      <c r="E213" s="110">
        <f>IF(E209&gt;C10,C10,E209)</f>
        <v>0</v>
      </c>
      <c r="F213" s="110">
        <f t="shared" ref="F213:I213" si="53">IF(F209&gt;D10,D10,F209)</f>
        <v>0</v>
      </c>
      <c r="G213" s="110">
        <f t="shared" si="53"/>
        <v>0</v>
      </c>
      <c r="H213" s="110">
        <f>IF(H209&gt;F10,F10,H209)</f>
        <v>0</v>
      </c>
      <c r="I213" s="110">
        <f t="shared" si="53"/>
        <v>0</v>
      </c>
    </row>
    <row r="214" spans="1:12" x14ac:dyDescent="0.2">
      <c r="A214" s="109"/>
      <c r="B214" s="68"/>
      <c r="C214" s="68"/>
      <c r="D214" s="68"/>
      <c r="E214" s="23"/>
      <c r="F214" s="23"/>
      <c r="G214" s="23"/>
      <c r="H214" s="23"/>
      <c r="I214" s="23"/>
    </row>
    <row r="215" spans="1:12" x14ac:dyDescent="0.2">
      <c r="E215" s="77"/>
      <c r="F215" s="17"/>
      <c r="G215" s="17"/>
      <c r="H215" s="17"/>
      <c r="I215" s="17"/>
    </row>
    <row r="216" spans="1:12" x14ac:dyDescent="0.2">
      <c r="A216" s="2" t="s">
        <v>124</v>
      </c>
      <c r="E216" s="17"/>
      <c r="F216" s="17"/>
      <c r="G216" s="17"/>
      <c r="H216" s="17"/>
      <c r="I216" s="17"/>
    </row>
    <row r="217" spans="1:12" x14ac:dyDescent="0.2">
      <c r="A217" s="2"/>
      <c r="B217" s="229" t="s">
        <v>8</v>
      </c>
      <c r="C217" s="229"/>
      <c r="D217" s="229" t="s">
        <v>9</v>
      </c>
      <c r="E217" s="229"/>
      <c r="F217" s="226" t="s">
        <v>10</v>
      </c>
      <c r="G217" s="226"/>
      <c r="H217" s="226" t="s">
        <v>23</v>
      </c>
      <c r="I217" s="226"/>
      <c r="J217" s="226" t="s">
        <v>11</v>
      </c>
      <c r="K217" s="226"/>
    </row>
    <row r="218" spans="1:12" x14ac:dyDescent="0.2">
      <c r="A218" s="74" t="str">
        <f t="shared" ref="A218:A241" si="54">A177</f>
        <v xml:space="preserve">PI #1 </v>
      </c>
      <c r="B218" s="4" t="e">
        <f>IF(L218="A",IF(H177&lt;$E$204,H177,$E$204),IF(L218="B",IF(H177&lt;$E$210,H177,$E$210),IF(L218="C",IF(H177&lt;$E$212,H177,$E$212),IF(L218="D",0))))</f>
        <v>#REF!</v>
      </c>
      <c r="C218" s="69" t="e">
        <f t="shared" ref="C218:C241" si="55">H177-B218</f>
        <v>#REF!</v>
      </c>
      <c r="D218" s="4" t="e">
        <f>IF(L218="A",IF(I177&lt;$F$204,I177,$F$204),IF(L218="B",IF(I177&lt;$F$210,I177,$F$210),IF(L218="C",IF(I177&lt;$F$212,I177,$F$212),IF(L218="D",0))))</f>
        <v>#REF!</v>
      </c>
      <c r="E218" s="69" t="e">
        <f t="shared" ref="E218:E241" si="56">I177-D218</f>
        <v>#REF!</v>
      </c>
      <c r="F218" s="4" t="e">
        <f>IF(L218="A",IF(J177&lt;$G$204,J177,$G$204),IF(L218="B",IF(J177&lt;$G$210,J177,$G$210),IF(L218="C",IF(J177&lt;$G$212,J177,$G$212),IF(L218="D",0))))</f>
        <v>#REF!</v>
      </c>
      <c r="G218" s="69" t="e">
        <f t="shared" ref="G218:G241" si="57">J177-F218</f>
        <v>#REF!</v>
      </c>
      <c r="H218" s="4" t="e">
        <f>IF(L218="A",IF(K177&lt;$H$204,K177,$H$204),IF(L218="B",IF(K177&lt;$H$210,K177,$H$210),IF(L218="C",IF(K177&lt;$H$212,K177,$H$212),IF(L218="D",0))))</f>
        <v>#REF!</v>
      </c>
      <c r="I218" s="69" t="e">
        <f t="shared" ref="I218:I241" si="58">K177-H218</f>
        <v>#REF!</v>
      </c>
      <c r="J218" s="4" t="e">
        <f>IF(L218="A",IF(L177&lt;$I$204,L177,$I$204),IF(L218="B",IF(L177&lt;$I$210,L177,$I$210),IF(L218="C",IF(L177&lt;$I$212,L177,$I$212),IF(L218="D",0))))</f>
        <v>#REF!</v>
      </c>
      <c r="K218" s="69" t="e">
        <f t="shared" ref="K218:K241" si="59">L177-J218</f>
        <v>#REF!</v>
      </c>
      <c r="L218" s="1" t="e">
        <f>IF(Request!#REF!="F-SMRA","A",IF(Request!#REF!="F-SMRB","B",IF(Request!#REF!="F-SMRC","C","D")))</f>
        <v>#REF!</v>
      </c>
    </row>
    <row r="219" spans="1:12" x14ac:dyDescent="0.2">
      <c r="A219" s="75" t="str">
        <f t="shared" si="54"/>
        <v>PI #2</v>
      </c>
      <c r="B219" s="4" t="e">
        <f t="shared" ref="B219:B241" si="60">IF(L219="A",IF(H178&lt;$E$204,H178,$E$204),IF(L219="B",IF(H178&lt;$E$210,H178,$E$210),IF(L219="C",IF(H178&lt;$E$212,H178,$E$212),IF(L219="D",0))))</f>
        <v>#REF!</v>
      </c>
      <c r="C219" s="69" t="e">
        <f t="shared" si="55"/>
        <v>#REF!</v>
      </c>
      <c r="D219" s="4" t="e">
        <f t="shared" ref="D219:D241" si="61">IF(L219="A",IF(I178&lt;$F$204,I178,$F$204),IF(L219="B",IF(I178&lt;$F$210,I178,$F$210),IF(L219="C",IF(I178&lt;$F$212,I178,$F$212),IF(L219="D",0))))</f>
        <v>#REF!</v>
      </c>
      <c r="E219" s="69" t="e">
        <f t="shared" si="56"/>
        <v>#REF!</v>
      </c>
      <c r="F219" s="4" t="e">
        <f t="shared" ref="F219:F241" si="62">IF(L219="A",IF(J178&lt;$G$204,J178,$G$204),IF(L219="B",IF(J178&lt;$G$210,J178,$G$210),IF(L219="C",IF(J178&lt;$G$212,J178,$G$212),IF(L219="D",0))))</f>
        <v>#REF!</v>
      </c>
      <c r="G219" s="69" t="e">
        <f t="shared" si="57"/>
        <v>#REF!</v>
      </c>
      <c r="H219" s="4" t="e">
        <f t="shared" ref="H219:H241" si="63">IF(L219="A",IF(K178&lt;$H$204,K178,$H$204),IF(L219="B",IF(K178&lt;$H$210,K178,$H$210),IF(L219="C",IF(K178&lt;$H$212,K178,$H$212),IF(L219="D",0))))</f>
        <v>#REF!</v>
      </c>
      <c r="I219" s="69" t="e">
        <f t="shared" si="58"/>
        <v>#REF!</v>
      </c>
      <c r="J219" s="4" t="e">
        <f t="shared" ref="J219:J241" si="64">IF(L219="A",IF(L178&lt;$I$204,L178,$I$204),IF(L219="B",IF(L178&lt;$I$210,L178,$I$210),IF(L219="C",IF(L178&lt;$I$212,L178,$I$212),IF(L219="D",0))))</f>
        <v>#REF!</v>
      </c>
      <c r="K219" s="69" t="e">
        <f t="shared" si="59"/>
        <v>#REF!</v>
      </c>
      <c r="L219" s="1" t="e">
        <f>IF(Request!#REF!="F-SMRA","A",IF(Request!#REF!="F-SMRB","B",IF(Request!#REF!="F-SMRC","C","D")))</f>
        <v>#REF!</v>
      </c>
    </row>
    <row r="220" spans="1:12" x14ac:dyDescent="0.2">
      <c r="A220" s="75" t="str">
        <f t="shared" si="54"/>
        <v>TBN</v>
      </c>
      <c r="B220" s="4" t="e">
        <f t="shared" si="60"/>
        <v>#REF!</v>
      </c>
      <c r="C220" s="69" t="e">
        <f t="shared" si="55"/>
        <v>#REF!</v>
      </c>
      <c r="D220" s="4" t="e">
        <f t="shared" si="61"/>
        <v>#REF!</v>
      </c>
      <c r="E220" s="69" t="e">
        <f t="shared" si="56"/>
        <v>#REF!</v>
      </c>
      <c r="F220" s="4" t="e">
        <f t="shared" si="62"/>
        <v>#REF!</v>
      </c>
      <c r="G220" s="69" t="e">
        <f t="shared" si="57"/>
        <v>#REF!</v>
      </c>
      <c r="H220" s="4" t="e">
        <f t="shared" si="63"/>
        <v>#REF!</v>
      </c>
      <c r="I220" s="69" t="e">
        <f t="shared" si="58"/>
        <v>#REF!</v>
      </c>
      <c r="J220" s="4" t="e">
        <f t="shared" si="64"/>
        <v>#REF!</v>
      </c>
      <c r="K220" s="69" t="e">
        <f t="shared" si="59"/>
        <v>#REF!</v>
      </c>
      <c r="L220" s="1" t="e">
        <f>IF(Request!#REF!="F-SMRA","A",IF(Request!#REF!="F-SMRB","B",IF(Request!#REF!="F-SMRC","C","D")))</f>
        <v>#REF!</v>
      </c>
    </row>
    <row r="221" spans="1:12" x14ac:dyDescent="0.2">
      <c r="A221" s="75" t="str">
        <f t="shared" si="54"/>
        <v>TBN</v>
      </c>
      <c r="B221" s="4" t="e">
        <f t="shared" si="60"/>
        <v>#REF!</v>
      </c>
      <c r="C221" s="69" t="e">
        <f t="shared" si="55"/>
        <v>#REF!</v>
      </c>
      <c r="D221" s="4" t="e">
        <f t="shared" si="61"/>
        <v>#REF!</v>
      </c>
      <c r="E221" s="69" t="e">
        <f t="shared" si="56"/>
        <v>#REF!</v>
      </c>
      <c r="F221" s="4" t="e">
        <f t="shared" si="62"/>
        <v>#REF!</v>
      </c>
      <c r="G221" s="69" t="e">
        <f t="shared" si="57"/>
        <v>#REF!</v>
      </c>
      <c r="H221" s="4" t="e">
        <f t="shared" si="63"/>
        <v>#REF!</v>
      </c>
      <c r="I221" s="69" t="e">
        <f t="shared" si="58"/>
        <v>#REF!</v>
      </c>
      <c r="J221" s="4" t="e">
        <f t="shared" si="64"/>
        <v>#REF!</v>
      </c>
      <c r="K221" s="69" t="e">
        <f t="shared" si="59"/>
        <v>#REF!</v>
      </c>
      <c r="L221" s="1" t="e">
        <f>IF(Request!#REF!="F-SMRA","A",IF(Request!#REF!="F-SMRB","B",IF(Request!#REF!="F-SMRC","C","D")))</f>
        <v>#REF!</v>
      </c>
    </row>
    <row r="222" spans="1:12" x14ac:dyDescent="0.2">
      <c r="A222" s="75">
        <f t="shared" si="54"/>
        <v>0</v>
      </c>
      <c r="B222" s="4" t="e">
        <f t="shared" si="60"/>
        <v>#REF!</v>
      </c>
      <c r="C222" s="69" t="e">
        <f t="shared" si="55"/>
        <v>#REF!</v>
      </c>
      <c r="D222" s="4" t="e">
        <f t="shared" si="61"/>
        <v>#REF!</v>
      </c>
      <c r="E222" s="69" t="e">
        <f t="shared" si="56"/>
        <v>#REF!</v>
      </c>
      <c r="F222" s="4" t="e">
        <f t="shared" si="62"/>
        <v>#REF!</v>
      </c>
      <c r="G222" s="69" t="e">
        <f t="shared" si="57"/>
        <v>#REF!</v>
      </c>
      <c r="H222" s="4" t="e">
        <f t="shared" si="63"/>
        <v>#REF!</v>
      </c>
      <c r="I222" s="69" t="e">
        <f t="shared" si="58"/>
        <v>#REF!</v>
      </c>
      <c r="J222" s="4" t="e">
        <f t="shared" si="64"/>
        <v>#REF!</v>
      </c>
      <c r="K222" s="69" t="e">
        <f t="shared" si="59"/>
        <v>#REF!</v>
      </c>
      <c r="L222" s="1" t="e">
        <f>IF(Request!#REF!="F-SMRA","A",IF(Request!#REF!="F-SMRB","B",IF(Request!#REF!="F-SMRC","C","D")))</f>
        <v>#REF!</v>
      </c>
    </row>
    <row r="223" spans="1:12" x14ac:dyDescent="0.2">
      <c r="A223" s="75">
        <f t="shared" si="54"/>
        <v>0</v>
      </c>
      <c r="B223" s="4" t="e">
        <f t="shared" si="60"/>
        <v>#REF!</v>
      </c>
      <c r="C223" s="69" t="e">
        <f t="shared" si="55"/>
        <v>#REF!</v>
      </c>
      <c r="D223" s="4" t="e">
        <f t="shared" si="61"/>
        <v>#REF!</v>
      </c>
      <c r="E223" s="69" t="e">
        <f t="shared" si="56"/>
        <v>#REF!</v>
      </c>
      <c r="F223" s="4" t="e">
        <f t="shared" si="62"/>
        <v>#REF!</v>
      </c>
      <c r="G223" s="69" t="e">
        <f t="shared" si="57"/>
        <v>#REF!</v>
      </c>
      <c r="H223" s="4" t="e">
        <f t="shared" si="63"/>
        <v>#REF!</v>
      </c>
      <c r="I223" s="69" t="e">
        <f t="shared" si="58"/>
        <v>#REF!</v>
      </c>
      <c r="J223" s="4" t="e">
        <f>IF(L223="A",IF(L182&lt;$I$204,L182,$I$204),IF(L223="B",IF(L182&lt;$I$210,L182,$I$210),IF(L223="C",IF(L182&lt;$I$212,L182,$I$212),IF(L223="D",0))))</f>
        <v>#REF!</v>
      </c>
      <c r="K223" s="69" t="e">
        <f t="shared" si="59"/>
        <v>#REF!</v>
      </c>
      <c r="L223" s="1" t="e">
        <f>IF(Request!#REF!="F-SMRA","A",IF(Request!#REF!="F-SMRB","B",IF(Request!#REF!="F-SMRC","C","D")))</f>
        <v>#REF!</v>
      </c>
    </row>
    <row r="224" spans="1:12" x14ac:dyDescent="0.2">
      <c r="A224" s="75">
        <f t="shared" si="54"/>
        <v>0</v>
      </c>
      <c r="B224" s="4">
        <f t="shared" si="60"/>
        <v>0</v>
      </c>
      <c r="C224" s="69" t="e">
        <f t="shared" si="55"/>
        <v>#REF!</v>
      </c>
      <c r="D224" s="4">
        <f t="shared" si="61"/>
        <v>0</v>
      </c>
      <c r="E224" s="69" t="e">
        <f t="shared" si="56"/>
        <v>#REF!</v>
      </c>
      <c r="F224" s="4">
        <f t="shared" si="62"/>
        <v>0</v>
      </c>
      <c r="G224" s="69" t="e">
        <f t="shared" si="57"/>
        <v>#REF!</v>
      </c>
      <c r="H224" s="4">
        <f t="shared" si="63"/>
        <v>0</v>
      </c>
      <c r="I224" s="69" t="e">
        <f t="shared" si="58"/>
        <v>#REF!</v>
      </c>
      <c r="J224" s="4">
        <f t="shared" si="64"/>
        <v>0</v>
      </c>
      <c r="K224" s="69" t="e">
        <f t="shared" si="59"/>
        <v>#REF!</v>
      </c>
      <c r="L224" s="1" t="str">
        <f>IF(Request!D41="F-SMRA","A",IF(Request!D41="F-SMRB","B",IF(Request!D41="F-SMRC","C","D")))</f>
        <v>D</v>
      </c>
    </row>
    <row r="225" spans="1:12" x14ac:dyDescent="0.2">
      <c r="A225" s="75">
        <f t="shared" si="54"/>
        <v>0</v>
      </c>
      <c r="B225" s="4">
        <f t="shared" si="60"/>
        <v>0</v>
      </c>
      <c r="C225" s="69" t="e">
        <f t="shared" si="55"/>
        <v>#REF!</v>
      </c>
      <c r="D225" s="4">
        <f t="shared" si="61"/>
        <v>0</v>
      </c>
      <c r="E225" s="69" t="e">
        <f t="shared" si="56"/>
        <v>#REF!</v>
      </c>
      <c r="F225" s="4">
        <f t="shared" si="62"/>
        <v>0</v>
      </c>
      <c r="G225" s="69" t="e">
        <f t="shared" si="57"/>
        <v>#REF!</v>
      </c>
      <c r="H225" s="4">
        <f t="shared" si="63"/>
        <v>0</v>
      </c>
      <c r="I225" s="69" t="e">
        <f t="shared" si="58"/>
        <v>#REF!</v>
      </c>
      <c r="J225" s="4">
        <f t="shared" si="64"/>
        <v>0</v>
      </c>
      <c r="K225" s="69" t="e">
        <f t="shared" si="59"/>
        <v>#REF!</v>
      </c>
      <c r="L225" s="1" t="str">
        <f>IF(Request!D42="F-SMRA","A",IF(Request!D42="F-SMRB","B",IF(Request!D42="F-SMRC","C","D")))</f>
        <v>D</v>
      </c>
    </row>
    <row r="226" spans="1:12" x14ac:dyDescent="0.2">
      <c r="A226" s="75">
        <f t="shared" si="54"/>
        <v>0</v>
      </c>
      <c r="B226" s="4">
        <f t="shared" si="60"/>
        <v>0</v>
      </c>
      <c r="C226" s="69" t="e">
        <f t="shared" si="55"/>
        <v>#REF!</v>
      </c>
      <c r="D226" s="4">
        <f t="shared" si="61"/>
        <v>0</v>
      </c>
      <c r="E226" s="69" t="e">
        <f t="shared" si="56"/>
        <v>#REF!</v>
      </c>
      <c r="F226" s="4">
        <f t="shared" si="62"/>
        <v>0</v>
      </c>
      <c r="G226" s="69" t="e">
        <f t="shared" si="57"/>
        <v>#REF!</v>
      </c>
      <c r="H226" s="4">
        <f t="shared" si="63"/>
        <v>0</v>
      </c>
      <c r="I226" s="69" t="e">
        <f t="shared" si="58"/>
        <v>#REF!</v>
      </c>
      <c r="J226" s="4">
        <f t="shared" si="64"/>
        <v>0</v>
      </c>
      <c r="K226" s="69" t="e">
        <f t="shared" si="59"/>
        <v>#REF!</v>
      </c>
      <c r="L226" s="1" t="str">
        <f>IF(Request!D43="F-SMRA","A",IF(Request!D43="F-SMRB","B",IF(Request!D43="F-SMRC","C","D")))</f>
        <v>D</v>
      </c>
    </row>
    <row r="227" spans="1:12" x14ac:dyDescent="0.2">
      <c r="A227" s="75">
        <f t="shared" si="54"/>
        <v>0</v>
      </c>
      <c r="B227" s="4">
        <f t="shared" si="60"/>
        <v>0</v>
      </c>
      <c r="C227" s="69" t="e">
        <f t="shared" si="55"/>
        <v>#REF!</v>
      </c>
      <c r="D227" s="4">
        <f t="shared" si="61"/>
        <v>0</v>
      </c>
      <c r="E227" s="69" t="e">
        <f t="shared" si="56"/>
        <v>#REF!</v>
      </c>
      <c r="F227" s="4">
        <f t="shared" si="62"/>
        <v>0</v>
      </c>
      <c r="G227" s="69" t="e">
        <f t="shared" si="57"/>
        <v>#REF!</v>
      </c>
      <c r="H227" s="4">
        <f t="shared" si="63"/>
        <v>0</v>
      </c>
      <c r="I227" s="69" t="e">
        <f t="shared" si="58"/>
        <v>#REF!</v>
      </c>
      <c r="J227" s="4">
        <f t="shared" si="64"/>
        <v>0</v>
      </c>
      <c r="K227" s="69" t="e">
        <f t="shared" si="59"/>
        <v>#REF!</v>
      </c>
      <c r="L227" s="1" t="str">
        <f>IF(Request!D44="F-SMRA","A",IF(Request!D44="F-SMRB","B",IF(Request!D44="F-SMRC","C","D")))</f>
        <v>D</v>
      </c>
    </row>
    <row r="228" spans="1:12" x14ac:dyDescent="0.2">
      <c r="A228" s="75">
        <f t="shared" si="54"/>
        <v>0</v>
      </c>
      <c r="B228" s="4">
        <f t="shared" si="60"/>
        <v>0</v>
      </c>
      <c r="C228" s="69" t="e">
        <f t="shared" si="55"/>
        <v>#REF!</v>
      </c>
      <c r="D228" s="4">
        <f t="shared" si="61"/>
        <v>0</v>
      </c>
      <c r="E228" s="69" t="e">
        <f t="shared" si="56"/>
        <v>#REF!</v>
      </c>
      <c r="F228" s="4">
        <f t="shared" si="62"/>
        <v>0</v>
      </c>
      <c r="G228" s="69" t="e">
        <f t="shared" si="57"/>
        <v>#REF!</v>
      </c>
      <c r="H228" s="4">
        <f t="shared" si="63"/>
        <v>0</v>
      </c>
      <c r="I228" s="69" t="e">
        <f t="shared" si="58"/>
        <v>#REF!</v>
      </c>
      <c r="J228" s="4">
        <f t="shared" si="64"/>
        <v>0</v>
      </c>
      <c r="K228" s="69" t="e">
        <f t="shared" si="59"/>
        <v>#REF!</v>
      </c>
      <c r="L228" s="1" t="str">
        <f>IF(Request!D45="F-SMRA","A",IF(Request!D45="F-SMRB","B",IF(Request!D45="F-SMRC","C","D")))</f>
        <v>D</v>
      </c>
    </row>
    <row r="229" spans="1:12" x14ac:dyDescent="0.2">
      <c r="A229" s="75">
        <f t="shared" si="54"/>
        <v>0</v>
      </c>
      <c r="B229" s="4">
        <f t="shared" si="60"/>
        <v>0</v>
      </c>
      <c r="C229" s="69" t="e">
        <f t="shared" si="55"/>
        <v>#REF!</v>
      </c>
      <c r="D229" s="4">
        <f t="shared" si="61"/>
        <v>0</v>
      </c>
      <c r="E229" s="69" t="e">
        <f t="shared" si="56"/>
        <v>#REF!</v>
      </c>
      <c r="F229" s="4">
        <f t="shared" si="62"/>
        <v>0</v>
      </c>
      <c r="G229" s="69" t="e">
        <f t="shared" si="57"/>
        <v>#REF!</v>
      </c>
      <c r="H229" s="4">
        <f t="shared" si="63"/>
        <v>0</v>
      </c>
      <c r="I229" s="69" t="e">
        <f t="shared" si="58"/>
        <v>#REF!</v>
      </c>
      <c r="J229" s="4">
        <f t="shared" si="64"/>
        <v>0</v>
      </c>
      <c r="K229" s="69" t="e">
        <f t="shared" si="59"/>
        <v>#REF!</v>
      </c>
      <c r="L229" s="1" t="str">
        <f>IF(Request!D46="F-SMRA","A",IF(Request!D46="F-SMRB","B",IF(Request!D46="F-SMRC","C","D")))</f>
        <v>D</v>
      </c>
    </row>
    <row r="230" spans="1:12" x14ac:dyDescent="0.2">
      <c r="A230" s="75">
        <f t="shared" si="54"/>
        <v>0</v>
      </c>
      <c r="B230" s="4">
        <f t="shared" si="60"/>
        <v>0</v>
      </c>
      <c r="C230" s="69" t="e">
        <f t="shared" si="55"/>
        <v>#REF!</v>
      </c>
      <c r="D230" s="4">
        <f t="shared" si="61"/>
        <v>0</v>
      </c>
      <c r="E230" s="69" t="e">
        <f t="shared" si="56"/>
        <v>#REF!</v>
      </c>
      <c r="F230" s="4">
        <f t="shared" si="62"/>
        <v>0</v>
      </c>
      <c r="G230" s="69" t="e">
        <f t="shared" si="57"/>
        <v>#REF!</v>
      </c>
      <c r="H230" s="4">
        <f t="shared" si="63"/>
        <v>0</v>
      </c>
      <c r="I230" s="69" t="e">
        <f t="shared" si="58"/>
        <v>#REF!</v>
      </c>
      <c r="J230" s="4">
        <f t="shared" si="64"/>
        <v>0</v>
      </c>
      <c r="K230" s="69" t="e">
        <f t="shared" si="59"/>
        <v>#REF!</v>
      </c>
      <c r="L230" s="1" t="str">
        <f>IF(Request!D47="F-SMRA","A",IF(Request!D47="F-SMRB","B",IF(Request!D47="F-SMRC","C","D")))</f>
        <v>D</v>
      </c>
    </row>
    <row r="231" spans="1:12" x14ac:dyDescent="0.2">
      <c r="A231" s="75">
        <f t="shared" si="54"/>
        <v>0</v>
      </c>
      <c r="B231" s="4">
        <f t="shared" si="60"/>
        <v>0</v>
      </c>
      <c r="C231" s="69" t="e">
        <f t="shared" si="55"/>
        <v>#REF!</v>
      </c>
      <c r="D231" s="4">
        <f t="shared" si="61"/>
        <v>0</v>
      </c>
      <c r="E231" s="69" t="e">
        <f t="shared" si="56"/>
        <v>#REF!</v>
      </c>
      <c r="F231" s="4">
        <f t="shared" si="62"/>
        <v>0</v>
      </c>
      <c r="G231" s="69" t="e">
        <f t="shared" si="57"/>
        <v>#REF!</v>
      </c>
      <c r="H231" s="4">
        <f t="shared" si="63"/>
        <v>0</v>
      </c>
      <c r="I231" s="69" t="e">
        <f t="shared" si="58"/>
        <v>#REF!</v>
      </c>
      <c r="J231" s="4">
        <f t="shared" si="64"/>
        <v>0</v>
      </c>
      <c r="K231" s="69" t="e">
        <f t="shared" si="59"/>
        <v>#REF!</v>
      </c>
      <c r="L231" s="1" t="str">
        <f>IF(Request!D48="F-SMRA","A",IF(Request!D48="F-SMRB","B",IF(Request!D48="F-SMRC","C","D")))</f>
        <v>D</v>
      </c>
    </row>
    <row r="232" spans="1:12" x14ac:dyDescent="0.2">
      <c r="A232" s="75">
        <f t="shared" si="54"/>
        <v>0</v>
      </c>
      <c r="B232" s="4">
        <f t="shared" si="60"/>
        <v>0</v>
      </c>
      <c r="C232" s="69" t="e">
        <f t="shared" si="55"/>
        <v>#REF!</v>
      </c>
      <c r="D232" s="4">
        <f t="shared" si="61"/>
        <v>0</v>
      </c>
      <c r="E232" s="69" t="e">
        <f t="shared" si="56"/>
        <v>#REF!</v>
      </c>
      <c r="F232" s="4">
        <f t="shared" si="62"/>
        <v>0</v>
      </c>
      <c r="G232" s="69" t="e">
        <f t="shared" si="57"/>
        <v>#REF!</v>
      </c>
      <c r="H232" s="4">
        <f t="shared" si="63"/>
        <v>0</v>
      </c>
      <c r="I232" s="69" t="e">
        <f t="shared" si="58"/>
        <v>#REF!</v>
      </c>
      <c r="J232" s="4">
        <f t="shared" si="64"/>
        <v>0</v>
      </c>
      <c r="K232" s="69" t="e">
        <f t="shared" si="59"/>
        <v>#REF!</v>
      </c>
      <c r="L232" s="1" t="str">
        <f>IF(Request!D49="F-SMRA","A",IF(Request!D49="F-SMRB","B",IF(Request!D49="F-SMRC","C","D")))</f>
        <v>D</v>
      </c>
    </row>
    <row r="233" spans="1:12" x14ac:dyDescent="0.2">
      <c r="A233" s="75">
        <f t="shared" si="54"/>
        <v>0</v>
      </c>
      <c r="B233" s="4">
        <f t="shared" si="60"/>
        <v>0</v>
      </c>
      <c r="C233" s="69" t="e">
        <f t="shared" si="55"/>
        <v>#REF!</v>
      </c>
      <c r="D233" s="4">
        <f t="shared" si="61"/>
        <v>0</v>
      </c>
      <c r="E233" s="69" t="e">
        <f t="shared" si="56"/>
        <v>#REF!</v>
      </c>
      <c r="F233" s="4">
        <f t="shared" si="62"/>
        <v>0</v>
      </c>
      <c r="G233" s="69" t="e">
        <f t="shared" si="57"/>
        <v>#REF!</v>
      </c>
      <c r="H233" s="4">
        <f t="shared" si="63"/>
        <v>0</v>
      </c>
      <c r="I233" s="69" t="e">
        <f t="shared" si="58"/>
        <v>#REF!</v>
      </c>
      <c r="J233" s="4">
        <f t="shared" si="64"/>
        <v>0</v>
      </c>
      <c r="K233" s="69" t="e">
        <f t="shared" si="59"/>
        <v>#REF!</v>
      </c>
      <c r="L233" s="1" t="str">
        <f>IF(Request!D50="F-SMRA","A",IF(Request!D50="F-SMRB","B",IF(Request!D50="F-SMRC","C","D")))</f>
        <v>D</v>
      </c>
    </row>
    <row r="234" spans="1:12" x14ac:dyDescent="0.2">
      <c r="A234" s="75">
        <f t="shared" si="54"/>
        <v>0</v>
      </c>
      <c r="B234" s="4">
        <f t="shared" si="60"/>
        <v>0</v>
      </c>
      <c r="C234" s="69" t="e">
        <f t="shared" si="55"/>
        <v>#REF!</v>
      </c>
      <c r="D234" s="4">
        <f t="shared" si="61"/>
        <v>0</v>
      </c>
      <c r="E234" s="69" t="e">
        <f t="shared" si="56"/>
        <v>#REF!</v>
      </c>
      <c r="F234" s="4">
        <f t="shared" si="62"/>
        <v>0</v>
      </c>
      <c r="G234" s="69" t="e">
        <f t="shared" si="57"/>
        <v>#REF!</v>
      </c>
      <c r="H234" s="4">
        <f t="shared" si="63"/>
        <v>0</v>
      </c>
      <c r="I234" s="69" t="e">
        <f t="shared" si="58"/>
        <v>#REF!</v>
      </c>
      <c r="J234" s="4">
        <f t="shared" si="64"/>
        <v>0</v>
      </c>
      <c r="K234" s="69" t="e">
        <f t="shared" si="59"/>
        <v>#REF!</v>
      </c>
      <c r="L234" s="1" t="str">
        <f>IF(Request!D51="F-SMRA","A",IF(Request!D51="F-SMRB","B",IF(Request!D51="F-SMRC","C","D")))</f>
        <v>D</v>
      </c>
    </row>
    <row r="235" spans="1:12" x14ac:dyDescent="0.2">
      <c r="A235" s="75">
        <f t="shared" si="54"/>
        <v>0</v>
      </c>
      <c r="B235" s="4">
        <f t="shared" si="60"/>
        <v>0</v>
      </c>
      <c r="C235" s="69" t="e">
        <f t="shared" si="55"/>
        <v>#REF!</v>
      </c>
      <c r="D235" s="4">
        <f t="shared" si="61"/>
        <v>0</v>
      </c>
      <c r="E235" s="69" t="e">
        <f t="shared" si="56"/>
        <v>#REF!</v>
      </c>
      <c r="F235" s="4">
        <f t="shared" si="62"/>
        <v>0</v>
      </c>
      <c r="G235" s="69" t="e">
        <f t="shared" si="57"/>
        <v>#REF!</v>
      </c>
      <c r="H235" s="4">
        <f t="shared" si="63"/>
        <v>0</v>
      </c>
      <c r="I235" s="69" t="e">
        <f t="shared" si="58"/>
        <v>#REF!</v>
      </c>
      <c r="J235" s="4">
        <f t="shared" si="64"/>
        <v>0</v>
      </c>
      <c r="K235" s="69" t="e">
        <f t="shared" si="59"/>
        <v>#REF!</v>
      </c>
      <c r="L235" s="1" t="str">
        <f>IF(Request!D52="F-SMRA","A",IF(Request!D52="F-SMRB","B",IF(Request!D52="F-SMRC","C","D")))</f>
        <v>D</v>
      </c>
    </row>
    <row r="236" spans="1:12" x14ac:dyDescent="0.2">
      <c r="A236" s="75">
        <f t="shared" si="54"/>
        <v>0</v>
      </c>
      <c r="B236" s="4">
        <f t="shared" si="60"/>
        <v>0</v>
      </c>
      <c r="C236" s="69" t="e">
        <f t="shared" si="55"/>
        <v>#REF!</v>
      </c>
      <c r="D236" s="4">
        <f t="shared" si="61"/>
        <v>0</v>
      </c>
      <c r="E236" s="69" t="e">
        <f t="shared" si="56"/>
        <v>#REF!</v>
      </c>
      <c r="F236" s="4">
        <f t="shared" si="62"/>
        <v>0</v>
      </c>
      <c r="G236" s="69" t="e">
        <f t="shared" si="57"/>
        <v>#REF!</v>
      </c>
      <c r="H236" s="4">
        <f t="shared" si="63"/>
        <v>0</v>
      </c>
      <c r="I236" s="69" t="e">
        <f t="shared" si="58"/>
        <v>#REF!</v>
      </c>
      <c r="J236" s="4">
        <f t="shared" si="64"/>
        <v>0</v>
      </c>
      <c r="K236" s="69" t="e">
        <f t="shared" si="59"/>
        <v>#REF!</v>
      </c>
      <c r="L236" s="1" t="str">
        <f>IF(Request!D53="F-SMRA","A",IF(Request!D53="F-SMRB","B",IF(Request!D53="F-SMRC","C","D")))</f>
        <v>D</v>
      </c>
    </row>
    <row r="237" spans="1:12" x14ac:dyDescent="0.2">
      <c r="A237" s="75">
        <f t="shared" si="54"/>
        <v>0</v>
      </c>
      <c r="B237" s="4">
        <f t="shared" si="60"/>
        <v>0</v>
      </c>
      <c r="C237" s="69" t="e">
        <f t="shared" si="55"/>
        <v>#REF!</v>
      </c>
      <c r="D237" s="4">
        <f t="shared" si="61"/>
        <v>0</v>
      </c>
      <c r="E237" s="69" t="e">
        <f t="shared" si="56"/>
        <v>#REF!</v>
      </c>
      <c r="F237" s="4">
        <f t="shared" si="62"/>
        <v>0</v>
      </c>
      <c r="G237" s="69" t="e">
        <f t="shared" si="57"/>
        <v>#REF!</v>
      </c>
      <c r="H237" s="4">
        <f t="shared" si="63"/>
        <v>0</v>
      </c>
      <c r="I237" s="69" t="e">
        <f t="shared" si="58"/>
        <v>#REF!</v>
      </c>
      <c r="J237" s="4">
        <f t="shared" si="64"/>
        <v>0</v>
      </c>
      <c r="K237" s="69" t="e">
        <f t="shared" si="59"/>
        <v>#REF!</v>
      </c>
      <c r="L237" s="1" t="str">
        <f>IF(Request!D54="F-SMRA","A",IF(Request!D54="F-SMRB","B",IF(Request!D54="F-SMRC","C","D")))</f>
        <v>D</v>
      </c>
    </row>
    <row r="238" spans="1:12" x14ac:dyDescent="0.2">
      <c r="A238" s="75">
        <f t="shared" si="54"/>
        <v>0</v>
      </c>
      <c r="B238" s="4">
        <f t="shared" si="60"/>
        <v>0</v>
      </c>
      <c r="C238" s="69" t="e">
        <f t="shared" si="55"/>
        <v>#REF!</v>
      </c>
      <c r="D238" s="4">
        <f t="shared" si="61"/>
        <v>0</v>
      </c>
      <c r="E238" s="69" t="e">
        <f t="shared" si="56"/>
        <v>#REF!</v>
      </c>
      <c r="F238" s="4">
        <f t="shared" si="62"/>
        <v>0</v>
      </c>
      <c r="G238" s="69" t="e">
        <f t="shared" si="57"/>
        <v>#REF!</v>
      </c>
      <c r="H238" s="4">
        <f t="shared" si="63"/>
        <v>0</v>
      </c>
      <c r="I238" s="69" t="e">
        <f t="shared" si="58"/>
        <v>#REF!</v>
      </c>
      <c r="J238" s="4">
        <f t="shared" si="64"/>
        <v>0</v>
      </c>
      <c r="K238" s="69" t="e">
        <f t="shared" si="59"/>
        <v>#REF!</v>
      </c>
      <c r="L238" s="1" t="str">
        <f>IF(Request!D55="F-SMRA","A",IF(Request!D55="F-SMRB","B",IF(Request!D55="F-SMRC","C","D")))</f>
        <v>D</v>
      </c>
    </row>
    <row r="239" spans="1:12" x14ac:dyDescent="0.2">
      <c r="A239" s="75">
        <f t="shared" si="54"/>
        <v>0</v>
      </c>
      <c r="B239" s="4">
        <f t="shared" si="60"/>
        <v>0</v>
      </c>
      <c r="C239" s="69" t="e">
        <f t="shared" si="55"/>
        <v>#REF!</v>
      </c>
      <c r="D239" s="4">
        <f t="shared" si="61"/>
        <v>0</v>
      </c>
      <c r="E239" s="69" t="e">
        <f t="shared" si="56"/>
        <v>#REF!</v>
      </c>
      <c r="F239" s="4">
        <f t="shared" si="62"/>
        <v>0</v>
      </c>
      <c r="G239" s="69" t="e">
        <f t="shared" si="57"/>
        <v>#REF!</v>
      </c>
      <c r="H239" s="4">
        <f t="shared" si="63"/>
        <v>0</v>
      </c>
      <c r="I239" s="69" t="e">
        <f t="shared" si="58"/>
        <v>#REF!</v>
      </c>
      <c r="J239" s="4">
        <f t="shared" si="64"/>
        <v>0</v>
      </c>
      <c r="K239" s="69" t="e">
        <f t="shared" si="59"/>
        <v>#REF!</v>
      </c>
      <c r="L239" s="1" t="str">
        <f>IF(Request!D56="F-SMRA","A",IF(Request!D56="F-SMRB","B",IF(Request!D56="F-SMRC","C","D")))</f>
        <v>D</v>
      </c>
    </row>
    <row r="240" spans="1:12" x14ac:dyDescent="0.2">
      <c r="A240" s="75">
        <f t="shared" si="54"/>
        <v>0</v>
      </c>
      <c r="B240" s="4">
        <f t="shared" si="60"/>
        <v>0</v>
      </c>
      <c r="C240" s="69" t="e">
        <f t="shared" si="55"/>
        <v>#REF!</v>
      </c>
      <c r="D240" s="4">
        <f t="shared" si="61"/>
        <v>0</v>
      </c>
      <c r="E240" s="69" t="e">
        <f t="shared" si="56"/>
        <v>#REF!</v>
      </c>
      <c r="F240" s="4">
        <f t="shared" si="62"/>
        <v>0</v>
      </c>
      <c r="G240" s="69" t="e">
        <f t="shared" si="57"/>
        <v>#REF!</v>
      </c>
      <c r="H240" s="4">
        <f t="shared" si="63"/>
        <v>0</v>
      </c>
      <c r="I240" s="69" t="e">
        <f t="shared" si="58"/>
        <v>#REF!</v>
      </c>
      <c r="J240" s="4">
        <f t="shared" si="64"/>
        <v>0</v>
      </c>
      <c r="K240" s="69" t="e">
        <f t="shared" si="59"/>
        <v>#REF!</v>
      </c>
      <c r="L240" s="1" t="str">
        <f>IF(Request!D57="F-SMRA","A",IF(Request!D57="F-SMRB","B",IF(Request!D57="F-SMRC","C","D")))</f>
        <v>D</v>
      </c>
    </row>
    <row r="241" spans="1:12" x14ac:dyDescent="0.2">
      <c r="A241" s="76">
        <f t="shared" si="54"/>
        <v>0</v>
      </c>
      <c r="B241" s="4">
        <f t="shared" si="60"/>
        <v>0</v>
      </c>
      <c r="C241" s="69" t="e">
        <f t="shared" si="55"/>
        <v>#REF!</v>
      </c>
      <c r="D241" s="4">
        <f t="shared" si="61"/>
        <v>0</v>
      </c>
      <c r="E241" s="69" t="e">
        <f t="shared" si="56"/>
        <v>#REF!</v>
      </c>
      <c r="F241" s="4">
        <f t="shared" si="62"/>
        <v>0</v>
      </c>
      <c r="G241" s="69" t="e">
        <f t="shared" si="57"/>
        <v>#REF!</v>
      </c>
      <c r="H241" s="4">
        <f t="shared" si="63"/>
        <v>0</v>
      </c>
      <c r="I241" s="69" t="e">
        <f t="shared" si="58"/>
        <v>#REF!</v>
      </c>
      <c r="J241" s="4">
        <f t="shared" si="64"/>
        <v>0</v>
      </c>
      <c r="K241" s="69" t="e">
        <f t="shared" si="59"/>
        <v>#REF!</v>
      </c>
      <c r="L241" s="1" t="str">
        <f>IF(Request!D58="F-SMRA","A",IF(Request!D58="F-SMRB","B",IF(Request!D58="F-SMRC","C","D")))</f>
        <v>D</v>
      </c>
    </row>
    <row r="245" spans="1:12" x14ac:dyDescent="0.2">
      <c r="E245" s="77"/>
      <c r="F245" s="17"/>
      <c r="G245" s="17"/>
      <c r="H245" s="17"/>
      <c r="I245" s="17"/>
    </row>
    <row r="246" spans="1:12" x14ac:dyDescent="0.2">
      <c r="A246" s="79" t="s">
        <v>125</v>
      </c>
      <c r="B246" s="232" t="s">
        <v>8</v>
      </c>
      <c r="C246" s="232"/>
      <c r="D246" s="232" t="s">
        <v>9</v>
      </c>
      <c r="E246" s="232"/>
      <c r="F246" s="232" t="s">
        <v>10</v>
      </c>
      <c r="G246" s="232"/>
      <c r="H246" s="232" t="s">
        <v>23</v>
      </c>
      <c r="I246" s="232"/>
      <c r="J246" s="232" t="s">
        <v>11</v>
      </c>
      <c r="K246" s="232"/>
    </row>
    <row r="247" spans="1:12" x14ac:dyDescent="0.2">
      <c r="A247" s="79"/>
      <c r="B247" s="82">
        <f t="shared" ref="B247:K247" si="65">B56</f>
        <v>0.183</v>
      </c>
      <c r="C247" s="82" t="e">
        <f t="shared" si="65"/>
        <v>#REF!</v>
      </c>
      <c r="D247" s="82">
        <f t="shared" si="65"/>
        <v>0</v>
      </c>
      <c r="E247" s="82">
        <f t="shared" si="65"/>
        <v>0</v>
      </c>
      <c r="F247" s="82">
        <f t="shared" si="65"/>
        <v>0</v>
      </c>
      <c r="G247" s="82">
        <f t="shared" si="65"/>
        <v>0</v>
      </c>
      <c r="H247" s="82">
        <f t="shared" si="65"/>
        <v>0</v>
      </c>
      <c r="I247" s="82">
        <f t="shared" si="65"/>
        <v>0</v>
      </c>
      <c r="J247" s="82">
        <f t="shared" si="65"/>
        <v>0</v>
      </c>
      <c r="K247" s="82">
        <f t="shared" si="65"/>
        <v>0</v>
      </c>
    </row>
    <row r="248" spans="1:12" x14ac:dyDescent="0.2">
      <c r="A248" s="74" t="str">
        <f>A218</f>
        <v xml:space="preserve">PI #1 </v>
      </c>
      <c r="B248" s="4" t="e">
        <f>B218</f>
        <v>#REF!</v>
      </c>
      <c r="C248" s="4" t="e">
        <f t="shared" ref="C248:K248" si="66">C218</f>
        <v>#REF!</v>
      </c>
      <c r="D248" s="4" t="e">
        <f t="shared" si="66"/>
        <v>#REF!</v>
      </c>
      <c r="E248" s="4" t="e">
        <f t="shared" si="66"/>
        <v>#REF!</v>
      </c>
      <c r="F248" s="4" t="e">
        <f t="shared" si="66"/>
        <v>#REF!</v>
      </c>
      <c r="G248" s="4" t="e">
        <f t="shared" si="66"/>
        <v>#REF!</v>
      </c>
      <c r="H248" s="4" t="e">
        <f t="shared" si="66"/>
        <v>#REF!</v>
      </c>
      <c r="I248" s="4" t="e">
        <f t="shared" si="66"/>
        <v>#REF!</v>
      </c>
      <c r="J248" s="4" t="e">
        <f t="shared" si="66"/>
        <v>#REF!</v>
      </c>
      <c r="K248" s="4" t="e">
        <f t="shared" si="66"/>
        <v>#REF!</v>
      </c>
    </row>
    <row r="249" spans="1:12" x14ac:dyDescent="0.2">
      <c r="A249" s="74" t="str">
        <f t="shared" ref="A249:K271" si="67">A219</f>
        <v>PI #2</v>
      </c>
      <c r="B249" s="4" t="e">
        <f t="shared" si="67"/>
        <v>#REF!</v>
      </c>
      <c r="C249" s="4" t="e">
        <f t="shared" si="67"/>
        <v>#REF!</v>
      </c>
      <c r="D249" s="4" t="e">
        <f t="shared" si="67"/>
        <v>#REF!</v>
      </c>
      <c r="E249" s="4" t="e">
        <f t="shared" si="67"/>
        <v>#REF!</v>
      </c>
      <c r="F249" s="4" t="e">
        <f t="shared" si="67"/>
        <v>#REF!</v>
      </c>
      <c r="G249" s="4" t="e">
        <f t="shared" si="67"/>
        <v>#REF!</v>
      </c>
      <c r="H249" s="4" t="e">
        <f t="shared" si="67"/>
        <v>#REF!</v>
      </c>
      <c r="I249" s="4" t="e">
        <f t="shared" si="67"/>
        <v>#REF!</v>
      </c>
      <c r="J249" s="4" t="e">
        <f t="shared" si="67"/>
        <v>#REF!</v>
      </c>
      <c r="K249" s="4" t="e">
        <f t="shared" si="67"/>
        <v>#REF!</v>
      </c>
    </row>
    <row r="250" spans="1:12" x14ac:dyDescent="0.2">
      <c r="A250" s="74" t="str">
        <f t="shared" si="67"/>
        <v>TBN</v>
      </c>
      <c r="B250" s="4" t="e">
        <f t="shared" si="67"/>
        <v>#REF!</v>
      </c>
      <c r="C250" s="4" t="e">
        <f t="shared" si="67"/>
        <v>#REF!</v>
      </c>
      <c r="D250" s="4" t="e">
        <f t="shared" si="67"/>
        <v>#REF!</v>
      </c>
      <c r="E250" s="4" t="e">
        <f t="shared" si="67"/>
        <v>#REF!</v>
      </c>
      <c r="F250" s="4" t="e">
        <f t="shared" si="67"/>
        <v>#REF!</v>
      </c>
      <c r="G250" s="4" t="e">
        <f t="shared" si="67"/>
        <v>#REF!</v>
      </c>
      <c r="H250" s="4" t="e">
        <f t="shared" si="67"/>
        <v>#REF!</v>
      </c>
      <c r="I250" s="4" t="e">
        <f t="shared" si="67"/>
        <v>#REF!</v>
      </c>
      <c r="J250" s="4" t="e">
        <f t="shared" si="67"/>
        <v>#REF!</v>
      </c>
      <c r="K250" s="4" t="e">
        <f t="shared" si="67"/>
        <v>#REF!</v>
      </c>
    </row>
    <row r="251" spans="1:12" x14ac:dyDescent="0.2">
      <c r="A251" s="74" t="str">
        <f t="shared" si="67"/>
        <v>TBN</v>
      </c>
      <c r="B251" s="4" t="e">
        <f t="shared" si="67"/>
        <v>#REF!</v>
      </c>
      <c r="C251" s="4" t="e">
        <f t="shared" si="67"/>
        <v>#REF!</v>
      </c>
      <c r="D251" s="4" t="e">
        <f t="shared" si="67"/>
        <v>#REF!</v>
      </c>
      <c r="E251" s="4" t="e">
        <f t="shared" si="67"/>
        <v>#REF!</v>
      </c>
      <c r="F251" s="4" t="e">
        <f t="shared" si="67"/>
        <v>#REF!</v>
      </c>
      <c r="G251" s="4" t="e">
        <f t="shared" si="67"/>
        <v>#REF!</v>
      </c>
      <c r="H251" s="4" t="e">
        <f t="shared" si="67"/>
        <v>#REF!</v>
      </c>
      <c r="I251" s="4" t="e">
        <f t="shared" si="67"/>
        <v>#REF!</v>
      </c>
      <c r="J251" s="4" t="e">
        <f t="shared" si="67"/>
        <v>#REF!</v>
      </c>
      <c r="K251" s="4" t="e">
        <f t="shared" si="67"/>
        <v>#REF!</v>
      </c>
    </row>
    <row r="252" spans="1:12" x14ac:dyDescent="0.2">
      <c r="A252" s="74">
        <f t="shared" si="67"/>
        <v>0</v>
      </c>
      <c r="B252" s="4" t="e">
        <f t="shared" si="67"/>
        <v>#REF!</v>
      </c>
      <c r="C252" s="4" t="e">
        <f t="shared" si="67"/>
        <v>#REF!</v>
      </c>
      <c r="D252" s="4" t="e">
        <f t="shared" si="67"/>
        <v>#REF!</v>
      </c>
      <c r="E252" s="4" t="e">
        <f t="shared" si="67"/>
        <v>#REF!</v>
      </c>
      <c r="F252" s="4" t="e">
        <f t="shared" si="67"/>
        <v>#REF!</v>
      </c>
      <c r="G252" s="4" t="e">
        <f t="shared" si="67"/>
        <v>#REF!</v>
      </c>
      <c r="H252" s="4" t="e">
        <f t="shared" si="67"/>
        <v>#REF!</v>
      </c>
      <c r="I252" s="4" t="e">
        <f t="shared" si="67"/>
        <v>#REF!</v>
      </c>
      <c r="J252" s="4" t="e">
        <f t="shared" si="67"/>
        <v>#REF!</v>
      </c>
      <c r="K252" s="4" t="e">
        <f t="shared" si="67"/>
        <v>#REF!</v>
      </c>
    </row>
    <row r="253" spans="1:12" x14ac:dyDescent="0.2">
      <c r="A253" s="74">
        <f t="shared" si="67"/>
        <v>0</v>
      </c>
      <c r="B253" s="4" t="e">
        <f t="shared" si="67"/>
        <v>#REF!</v>
      </c>
      <c r="C253" s="4" t="e">
        <f t="shared" si="67"/>
        <v>#REF!</v>
      </c>
      <c r="D253" s="4" t="e">
        <f t="shared" si="67"/>
        <v>#REF!</v>
      </c>
      <c r="E253" s="4" t="e">
        <f t="shared" si="67"/>
        <v>#REF!</v>
      </c>
      <c r="F253" s="4" t="e">
        <f t="shared" si="67"/>
        <v>#REF!</v>
      </c>
      <c r="G253" s="4" t="e">
        <f t="shared" si="67"/>
        <v>#REF!</v>
      </c>
      <c r="H253" s="4" t="e">
        <f t="shared" si="67"/>
        <v>#REF!</v>
      </c>
      <c r="I253" s="4" t="e">
        <f t="shared" si="67"/>
        <v>#REF!</v>
      </c>
      <c r="J253" s="4" t="e">
        <f t="shared" si="67"/>
        <v>#REF!</v>
      </c>
      <c r="K253" s="4" t="e">
        <f t="shared" si="67"/>
        <v>#REF!</v>
      </c>
    </row>
    <row r="254" spans="1:12" x14ac:dyDescent="0.2">
      <c r="A254" s="74">
        <f t="shared" si="67"/>
        <v>0</v>
      </c>
      <c r="B254" s="4">
        <f t="shared" si="67"/>
        <v>0</v>
      </c>
      <c r="C254" s="4" t="e">
        <f t="shared" si="67"/>
        <v>#REF!</v>
      </c>
      <c r="D254" s="4">
        <f t="shared" si="67"/>
        <v>0</v>
      </c>
      <c r="E254" s="4" t="e">
        <f t="shared" si="67"/>
        <v>#REF!</v>
      </c>
      <c r="F254" s="4">
        <f t="shared" si="67"/>
        <v>0</v>
      </c>
      <c r="G254" s="4" t="e">
        <f t="shared" si="67"/>
        <v>#REF!</v>
      </c>
      <c r="H254" s="4">
        <f t="shared" si="67"/>
        <v>0</v>
      </c>
      <c r="I254" s="4" t="e">
        <f t="shared" si="67"/>
        <v>#REF!</v>
      </c>
      <c r="J254" s="4">
        <f t="shared" si="67"/>
        <v>0</v>
      </c>
      <c r="K254" s="4" t="e">
        <f t="shared" si="67"/>
        <v>#REF!</v>
      </c>
    </row>
    <row r="255" spans="1:12" x14ac:dyDescent="0.2">
      <c r="A255" s="74">
        <f t="shared" si="67"/>
        <v>0</v>
      </c>
      <c r="B255" s="4">
        <f t="shared" si="67"/>
        <v>0</v>
      </c>
      <c r="C255" s="4" t="e">
        <f t="shared" si="67"/>
        <v>#REF!</v>
      </c>
      <c r="D255" s="4">
        <f t="shared" si="67"/>
        <v>0</v>
      </c>
      <c r="E255" s="4" t="e">
        <f t="shared" si="67"/>
        <v>#REF!</v>
      </c>
      <c r="F255" s="4">
        <f t="shared" si="67"/>
        <v>0</v>
      </c>
      <c r="G255" s="4" t="e">
        <f t="shared" si="67"/>
        <v>#REF!</v>
      </c>
      <c r="H255" s="4">
        <f t="shared" si="67"/>
        <v>0</v>
      </c>
      <c r="I255" s="4" t="e">
        <f t="shared" si="67"/>
        <v>#REF!</v>
      </c>
      <c r="J255" s="4">
        <f t="shared" si="67"/>
        <v>0</v>
      </c>
      <c r="K255" s="4" t="e">
        <f t="shared" si="67"/>
        <v>#REF!</v>
      </c>
    </row>
    <row r="256" spans="1:12" x14ac:dyDescent="0.2">
      <c r="A256" s="74">
        <f t="shared" si="67"/>
        <v>0</v>
      </c>
      <c r="B256" s="4">
        <f t="shared" si="67"/>
        <v>0</v>
      </c>
      <c r="C256" s="4" t="e">
        <f t="shared" si="67"/>
        <v>#REF!</v>
      </c>
      <c r="D256" s="4">
        <f t="shared" si="67"/>
        <v>0</v>
      </c>
      <c r="E256" s="4" t="e">
        <f t="shared" si="67"/>
        <v>#REF!</v>
      </c>
      <c r="F256" s="4">
        <f t="shared" si="67"/>
        <v>0</v>
      </c>
      <c r="G256" s="4" t="e">
        <f t="shared" si="67"/>
        <v>#REF!</v>
      </c>
      <c r="H256" s="4">
        <f t="shared" si="67"/>
        <v>0</v>
      </c>
      <c r="I256" s="4" t="e">
        <f t="shared" si="67"/>
        <v>#REF!</v>
      </c>
      <c r="J256" s="4">
        <f t="shared" si="67"/>
        <v>0</v>
      </c>
      <c r="K256" s="4" t="e">
        <f t="shared" si="67"/>
        <v>#REF!</v>
      </c>
    </row>
    <row r="257" spans="1:11" x14ac:dyDescent="0.2">
      <c r="A257" s="74">
        <f t="shared" si="67"/>
        <v>0</v>
      </c>
      <c r="B257" s="4">
        <f t="shared" si="67"/>
        <v>0</v>
      </c>
      <c r="C257" s="4" t="e">
        <f t="shared" si="67"/>
        <v>#REF!</v>
      </c>
      <c r="D257" s="4">
        <f t="shared" si="67"/>
        <v>0</v>
      </c>
      <c r="E257" s="4" t="e">
        <f t="shared" si="67"/>
        <v>#REF!</v>
      </c>
      <c r="F257" s="4">
        <f t="shared" si="67"/>
        <v>0</v>
      </c>
      <c r="G257" s="4" t="e">
        <f t="shared" si="67"/>
        <v>#REF!</v>
      </c>
      <c r="H257" s="4">
        <f t="shared" si="67"/>
        <v>0</v>
      </c>
      <c r="I257" s="4" t="e">
        <f t="shared" si="67"/>
        <v>#REF!</v>
      </c>
      <c r="J257" s="4">
        <f t="shared" si="67"/>
        <v>0</v>
      </c>
      <c r="K257" s="4" t="e">
        <f t="shared" si="67"/>
        <v>#REF!</v>
      </c>
    </row>
    <row r="258" spans="1:11" x14ac:dyDescent="0.2">
      <c r="A258" s="74">
        <f t="shared" si="67"/>
        <v>0</v>
      </c>
      <c r="B258" s="4">
        <f t="shared" si="67"/>
        <v>0</v>
      </c>
      <c r="C258" s="4" t="e">
        <f t="shared" si="67"/>
        <v>#REF!</v>
      </c>
      <c r="D258" s="4">
        <f t="shared" si="67"/>
        <v>0</v>
      </c>
      <c r="E258" s="4" t="e">
        <f t="shared" si="67"/>
        <v>#REF!</v>
      </c>
      <c r="F258" s="4">
        <f t="shared" si="67"/>
        <v>0</v>
      </c>
      <c r="G258" s="4" t="e">
        <f t="shared" si="67"/>
        <v>#REF!</v>
      </c>
      <c r="H258" s="4">
        <f t="shared" si="67"/>
        <v>0</v>
      </c>
      <c r="I258" s="4" t="e">
        <f t="shared" si="67"/>
        <v>#REF!</v>
      </c>
      <c r="J258" s="4">
        <f t="shared" si="67"/>
        <v>0</v>
      </c>
      <c r="K258" s="4" t="e">
        <f t="shared" si="67"/>
        <v>#REF!</v>
      </c>
    </row>
    <row r="259" spans="1:11" x14ac:dyDescent="0.2">
      <c r="A259" s="74">
        <f t="shared" si="67"/>
        <v>0</v>
      </c>
      <c r="B259" s="4">
        <f t="shared" si="67"/>
        <v>0</v>
      </c>
      <c r="C259" s="4" t="e">
        <f t="shared" si="67"/>
        <v>#REF!</v>
      </c>
      <c r="D259" s="4">
        <f t="shared" si="67"/>
        <v>0</v>
      </c>
      <c r="E259" s="4" t="e">
        <f t="shared" si="67"/>
        <v>#REF!</v>
      </c>
      <c r="F259" s="4">
        <f t="shared" si="67"/>
        <v>0</v>
      </c>
      <c r="G259" s="4" t="e">
        <f t="shared" si="67"/>
        <v>#REF!</v>
      </c>
      <c r="H259" s="4">
        <f t="shared" si="67"/>
        <v>0</v>
      </c>
      <c r="I259" s="4" t="e">
        <f t="shared" si="67"/>
        <v>#REF!</v>
      </c>
      <c r="J259" s="4">
        <f t="shared" si="67"/>
        <v>0</v>
      </c>
      <c r="K259" s="4" t="e">
        <f t="shared" si="67"/>
        <v>#REF!</v>
      </c>
    </row>
    <row r="260" spans="1:11" x14ac:dyDescent="0.2">
      <c r="A260" s="74">
        <f t="shared" si="67"/>
        <v>0</v>
      </c>
      <c r="B260" s="4">
        <f t="shared" si="67"/>
        <v>0</v>
      </c>
      <c r="C260" s="4" t="e">
        <f t="shared" si="67"/>
        <v>#REF!</v>
      </c>
      <c r="D260" s="4">
        <f t="shared" si="67"/>
        <v>0</v>
      </c>
      <c r="E260" s="4" t="e">
        <f t="shared" si="67"/>
        <v>#REF!</v>
      </c>
      <c r="F260" s="4">
        <f t="shared" si="67"/>
        <v>0</v>
      </c>
      <c r="G260" s="4" t="e">
        <f t="shared" si="67"/>
        <v>#REF!</v>
      </c>
      <c r="H260" s="4">
        <f t="shared" si="67"/>
        <v>0</v>
      </c>
      <c r="I260" s="4" t="e">
        <f t="shared" si="67"/>
        <v>#REF!</v>
      </c>
      <c r="J260" s="4">
        <f t="shared" si="67"/>
        <v>0</v>
      </c>
      <c r="K260" s="4" t="e">
        <f t="shared" si="67"/>
        <v>#REF!</v>
      </c>
    </row>
    <row r="261" spans="1:11" x14ac:dyDescent="0.2">
      <c r="A261" s="74">
        <f t="shared" si="67"/>
        <v>0</v>
      </c>
      <c r="B261" s="4">
        <f t="shared" si="67"/>
        <v>0</v>
      </c>
      <c r="C261" s="4" t="e">
        <f t="shared" si="67"/>
        <v>#REF!</v>
      </c>
      <c r="D261" s="4">
        <f t="shared" si="67"/>
        <v>0</v>
      </c>
      <c r="E261" s="4" t="e">
        <f t="shared" si="67"/>
        <v>#REF!</v>
      </c>
      <c r="F261" s="4">
        <f t="shared" si="67"/>
        <v>0</v>
      </c>
      <c r="G261" s="4" t="e">
        <f t="shared" si="67"/>
        <v>#REF!</v>
      </c>
      <c r="H261" s="4">
        <f t="shared" si="67"/>
        <v>0</v>
      </c>
      <c r="I261" s="4" t="e">
        <f t="shared" si="67"/>
        <v>#REF!</v>
      </c>
      <c r="J261" s="4">
        <f t="shared" si="67"/>
        <v>0</v>
      </c>
      <c r="K261" s="4" t="e">
        <f t="shared" si="67"/>
        <v>#REF!</v>
      </c>
    </row>
    <row r="262" spans="1:11" x14ac:dyDescent="0.2">
      <c r="A262" s="74">
        <f t="shared" si="67"/>
        <v>0</v>
      </c>
      <c r="B262" s="4">
        <f t="shared" si="67"/>
        <v>0</v>
      </c>
      <c r="C262" s="4" t="e">
        <f t="shared" si="67"/>
        <v>#REF!</v>
      </c>
      <c r="D262" s="4">
        <f t="shared" si="67"/>
        <v>0</v>
      </c>
      <c r="E262" s="4" t="e">
        <f t="shared" si="67"/>
        <v>#REF!</v>
      </c>
      <c r="F262" s="4">
        <f t="shared" si="67"/>
        <v>0</v>
      </c>
      <c r="G262" s="4" t="e">
        <f t="shared" si="67"/>
        <v>#REF!</v>
      </c>
      <c r="H262" s="4">
        <f t="shared" si="67"/>
        <v>0</v>
      </c>
      <c r="I262" s="4" t="e">
        <f t="shared" si="67"/>
        <v>#REF!</v>
      </c>
      <c r="J262" s="4">
        <f t="shared" si="67"/>
        <v>0</v>
      </c>
      <c r="K262" s="4" t="e">
        <f t="shared" si="67"/>
        <v>#REF!</v>
      </c>
    </row>
    <row r="263" spans="1:11" x14ac:dyDescent="0.2">
      <c r="A263" s="74">
        <f t="shared" si="67"/>
        <v>0</v>
      </c>
      <c r="B263" s="4">
        <f t="shared" si="67"/>
        <v>0</v>
      </c>
      <c r="C263" s="4" t="e">
        <f t="shared" si="67"/>
        <v>#REF!</v>
      </c>
      <c r="D263" s="4">
        <f t="shared" si="67"/>
        <v>0</v>
      </c>
      <c r="E263" s="4" t="e">
        <f t="shared" si="67"/>
        <v>#REF!</v>
      </c>
      <c r="F263" s="4">
        <f t="shared" si="67"/>
        <v>0</v>
      </c>
      <c r="G263" s="4" t="e">
        <f t="shared" si="67"/>
        <v>#REF!</v>
      </c>
      <c r="H263" s="4">
        <f t="shared" si="67"/>
        <v>0</v>
      </c>
      <c r="I263" s="4" t="e">
        <f t="shared" si="67"/>
        <v>#REF!</v>
      </c>
      <c r="J263" s="4">
        <f t="shared" si="67"/>
        <v>0</v>
      </c>
      <c r="K263" s="4" t="e">
        <f t="shared" si="67"/>
        <v>#REF!</v>
      </c>
    </row>
    <row r="264" spans="1:11" x14ac:dyDescent="0.2">
      <c r="A264" s="74">
        <f t="shared" si="67"/>
        <v>0</v>
      </c>
      <c r="B264" s="4">
        <f t="shared" si="67"/>
        <v>0</v>
      </c>
      <c r="C264" s="4" t="e">
        <f t="shared" si="67"/>
        <v>#REF!</v>
      </c>
      <c r="D264" s="4">
        <f t="shared" si="67"/>
        <v>0</v>
      </c>
      <c r="E264" s="4" t="e">
        <f t="shared" si="67"/>
        <v>#REF!</v>
      </c>
      <c r="F264" s="4">
        <f t="shared" si="67"/>
        <v>0</v>
      </c>
      <c r="G264" s="4" t="e">
        <f t="shared" si="67"/>
        <v>#REF!</v>
      </c>
      <c r="H264" s="4">
        <f t="shared" si="67"/>
        <v>0</v>
      </c>
      <c r="I264" s="4" t="e">
        <f t="shared" si="67"/>
        <v>#REF!</v>
      </c>
      <c r="J264" s="4">
        <f t="shared" si="67"/>
        <v>0</v>
      </c>
      <c r="K264" s="4" t="e">
        <f t="shared" si="67"/>
        <v>#REF!</v>
      </c>
    </row>
    <row r="265" spans="1:11" x14ac:dyDescent="0.2">
      <c r="A265" s="74">
        <f t="shared" si="67"/>
        <v>0</v>
      </c>
      <c r="B265" s="4">
        <f t="shared" si="67"/>
        <v>0</v>
      </c>
      <c r="C265" s="4" t="e">
        <f t="shared" si="67"/>
        <v>#REF!</v>
      </c>
      <c r="D265" s="4">
        <f t="shared" si="67"/>
        <v>0</v>
      </c>
      <c r="E265" s="4" t="e">
        <f t="shared" si="67"/>
        <v>#REF!</v>
      </c>
      <c r="F265" s="4">
        <f t="shared" si="67"/>
        <v>0</v>
      </c>
      <c r="G265" s="4" t="e">
        <f t="shared" si="67"/>
        <v>#REF!</v>
      </c>
      <c r="H265" s="4">
        <f t="shared" si="67"/>
        <v>0</v>
      </c>
      <c r="I265" s="4" t="e">
        <f t="shared" si="67"/>
        <v>#REF!</v>
      </c>
      <c r="J265" s="4">
        <f t="shared" si="67"/>
        <v>0</v>
      </c>
      <c r="K265" s="4" t="e">
        <f t="shared" si="67"/>
        <v>#REF!</v>
      </c>
    </row>
    <row r="266" spans="1:11" x14ac:dyDescent="0.2">
      <c r="A266" s="74">
        <f t="shared" si="67"/>
        <v>0</v>
      </c>
      <c r="B266" s="4">
        <f t="shared" si="67"/>
        <v>0</v>
      </c>
      <c r="C266" s="4" t="e">
        <f t="shared" si="67"/>
        <v>#REF!</v>
      </c>
      <c r="D266" s="4">
        <f t="shared" si="67"/>
        <v>0</v>
      </c>
      <c r="E266" s="4" t="e">
        <f t="shared" si="67"/>
        <v>#REF!</v>
      </c>
      <c r="F266" s="4">
        <f t="shared" si="67"/>
        <v>0</v>
      </c>
      <c r="G266" s="4" t="e">
        <f t="shared" si="67"/>
        <v>#REF!</v>
      </c>
      <c r="H266" s="4">
        <f t="shared" si="67"/>
        <v>0</v>
      </c>
      <c r="I266" s="4" t="e">
        <f t="shared" si="67"/>
        <v>#REF!</v>
      </c>
      <c r="J266" s="4">
        <f t="shared" si="67"/>
        <v>0</v>
      </c>
      <c r="K266" s="4" t="e">
        <f t="shared" si="67"/>
        <v>#REF!</v>
      </c>
    </row>
    <row r="267" spans="1:11" x14ac:dyDescent="0.2">
      <c r="A267" s="74">
        <f t="shared" si="67"/>
        <v>0</v>
      </c>
      <c r="B267" s="4">
        <f t="shared" si="67"/>
        <v>0</v>
      </c>
      <c r="C267" s="4" t="e">
        <f t="shared" si="67"/>
        <v>#REF!</v>
      </c>
      <c r="D267" s="4">
        <f t="shared" si="67"/>
        <v>0</v>
      </c>
      <c r="E267" s="4" t="e">
        <f t="shared" si="67"/>
        <v>#REF!</v>
      </c>
      <c r="F267" s="4">
        <f t="shared" si="67"/>
        <v>0</v>
      </c>
      <c r="G267" s="4" t="e">
        <f t="shared" si="67"/>
        <v>#REF!</v>
      </c>
      <c r="H267" s="4">
        <f t="shared" si="67"/>
        <v>0</v>
      </c>
      <c r="I267" s="4" t="e">
        <f t="shared" si="67"/>
        <v>#REF!</v>
      </c>
      <c r="J267" s="4">
        <f t="shared" si="67"/>
        <v>0</v>
      </c>
      <c r="K267" s="4" t="e">
        <f t="shared" si="67"/>
        <v>#REF!</v>
      </c>
    </row>
    <row r="268" spans="1:11" x14ac:dyDescent="0.2">
      <c r="A268" s="74">
        <f t="shared" si="67"/>
        <v>0</v>
      </c>
      <c r="B268" s="4">
        <f t="shared" si="67"/>
        <v>0</v>
      </c>
      <c r="C268" s="4" t="e">
        <f t="shared" si="67"/>
        <v>#REF!</v>
      </c>
      <c r="D268" s="4">
        <f t="shared" si="67"/>
        <v>0</v>
      </c>
      <c r="E268" s="4" t="e">
        <f t="shared" si="67"/>
        <v>#REF!</v>
      </c>
      <c r="F268" s="4">
        <f t="shared" si="67"/>
        <v>0</v>
      </c>
      <c r="G268" s="4" t="e">
        <f t="shared" si="67"/>
        <v>#REF!</v>
      </c>
      <c r="H268" s="4">
        <f t="shared" si="67"/>
        <v>0</v>
      </c>
      <c r="I268" s="4" t="e">
        <f t="shared" si="67"/>
        <v>#REF!</v>
      </c>
      <c r="J268" s="4">
        <f t="shared" si="67"/>
        <v>0</v>
      </c>
      <c r="K268" s="4" t="e">
        <f t="shared" si="67"/>
        <v>#REF!</v>
      </c>
    </row>
    <row r="269" spans="1:11" x14ac:dyDescent="0.2">
      <c r="A269" s="74">
        <f t="shared" si="67"/>
        <v>0</v>
      </c>
      <c r="B269" s="4">
        <f t="shared" si="67"/>
        <v>0</v>
      </c>
      <c r="C269" s="4" t="e">
        <f t="shared" si="67"/>
        <v>#REF!</v>
      </c>
      <c r="D269" s="4">
        <f t="shared" si="67"/>
        <v>0</v>
      </c>
      <c r="E269" s="4" t="e">
        <f t="shared" si="67"/>
        <v>#REF!</v>
      </c>
      <c r="F269" s="4">
        <f t="shared" si="67"/>
        <v>0</v>
      </c>
      <c r="G269" s="4" t="e">
        <f t="shared" si="67"/>
        <v>#REF!</v>
      </c>
      <c r="H269" s="4">
        <f t="shared" si="67"/>
        <v>0</v>
      </c>
      <c r="I269" s="4" t="e">
        <f t="shared" si="67"/>
        <v>#REF!</v>
      </c>
      <c r="J269" s="4">
        <f t="shared" si="67"/>
        <v>0</v>
      </c>
      <c r="K269" s="4" t="e">
        <f t="shared" ref="K269" si="68">K239</f>
        <v>#REF!</v>
      </c>
    </row>
    <row r="270" spans="1:11" x14ac:dyDescent="0.2">
      <c r="A270" s="74">
        <f t="shared" si="67"/>
        <v>0</v>
      </c>
      <c r="B270" s="4">
        <f t="shared" ref="B270:K270" si="69">B240</f>
        <v>0</v>
      </c>
      <c r="C270" s="4" t="e">
        <f t="shared" si="69"/>
        <v>#REF!</v>
      </c>
      <c r="D270" s="4">
        <f t="shared" si="69"/>
        <v>0</v>
      </c>
      <c r="E270" s="4" t="e">
        <f t="shared" si="69"/>
        <v>#REF!</v>
      </c>
      <c r="F270" s="4">
        <f t="shared" si="69"/>
        <v>0</v>
      </c>
      <c r="G270" s="4" t="e">
        <f t="shared" si="69"/>
        <v>#REF!</v>
      </c>
      <c r="H270" s="4">
        <f t="shared" si="69"/>
        <v>0</v>
      </c>
      <c r="I270" s="4" t="e">
        <f t="shared" si="69"/>
        <v>#REF!</v>
      </c>
      <c r="J270" s="4">
        <f t="shared" si="69"/>
        <v>0</v>
      </c>
      <c r="K270" s="4" t="e">
        <f t="shared" si="69"/>
        <v>#REF!</v>
      </c>
    </row>
    <row r="271" spans="1:11" x14ac:dyDescent="0.2">
      <c r="A271" s="78">
        <f t="shared" si="67"/>
        <v>0</v>
      </c>
      <c r="B271" s="4">
        <f t="shared" ref="B271:K271" si="70">B241</f>
        <v>0</v>
      </c>
      <c r="C271" s="4" t="e">
        <f t="shared" si="70"/>
        <v>#REF!</v>
      </c>
      <c r="D271" s="4">
        <f t="shared" si="70"/>
        <v>0</v>
      </c>
      <c r="E271" s="4" t="e">
        <f t="shared" si="70"/>
        <v>#REF!</v>
      </c>
      <c r="F271" s="4">
        <f t="shared" si="70"/>
        <v>0</v>
      </c>
      <c r="G271" s="4" t="e">
        <f t="shared" si="70"/>
        <v>#REF!</v>
      </c>
      <c r="H271" s="4">
        <f t="shared" si="70"/>
        <v>0</v>
      </c>
      <c r="I271" s="4" t="e">
        <f t="shared" si="70"/>
        <v>#REF!</v>
      </c>
      <c r="J271" s="4">
        <f t="shared" si="70"/>
        <v>0</v>
      </c>
      <c r="K271" s="4" t="e">
        <f t="shared" si="70"/>
        <v>#REF!</v>
      </c>
    </row>
    <row r="272" spans="1:11" x14ac:dyDescent="0.2">
      <c r="A272" s="80"/>
      <c r="B272" s="23"/>
      <c r="C272" s="22"/>
      <c r="D272" s="23"/>
      <c r="E272" s="22"/>
      <c r="F272" s="23"/>
      <c r="G272" s="22"/>
      <c r="H272" s="23"/>
      <c r="I272" s="22"/>
      <c r="J272" s="23"/>
      <c r="K272" s="22"/>
    </row>
    <row r="274" spans="1:11" x14ac:dyDescent="0.2">
      <c r="A274" s="79" t="s">
        <v>126</v>
      </c>
      <c r="B274" s="232"/>
      <c r="C274" s="232"/>
      <c r="D274" s="232"/>
      <c r="E274" s="232"/>
      <c r="F274" s="232"/>
      <c r="G274" s="232"/>
      <c r="H274" s="232"/>
      <c r="I274" s="232"/>
      <c r="J274" s="232"/>
      <c r="K274" s="232"/>
    </row>
    <row r="275" spans="1:11" x14ac:dyDescent="0.2">
      <c r="A275" s="81" t="str">
        <f>A248</f>
        <v xml:space="preserve">PI #1 </v>
      </c>
      <c r="B275" s="233" t="e">
        <f>IF(B$247=C$247,B$247*100,IF(C248=0,B$247*100&amp;"/0",IF(B248=0,"0/"&amp;C$247*100,B$247*100&amp;"/"&amp;C$247*100)))</f>
        <v>#REF!</v>
      </c>
      <c r="C275" s="234"/>
      <c r="D275" s="235">
        <f>IF(D$247=E$247,D$247*100,IF(E248=0,D$247*100&amp;"/0",IF(D248=0,"0/"&amp;E$247*100,D$247*100&amp;"/"&amp;E$247*100)))</f>
        <v>0</v>
      </c>
      <c r="E275" s="236"/>
      <c r="F275" s="235">
        <f>IF(F$247=G$247,F$247*100,IF(G248=0,F$247*100&amp;"/0",IF(F248=0,"0/"&amp;G$247*100,F$247*100&amp;"/"&amp;G$247*100)))</f>
        <v>0</v>
      </c>
      <c r="G275" s="236"/>
      <c r="H275" s="235">
        <f>IF(H$247=I$247,H$247*100,IF(I248=0,H$247*100&amp;"/0",IF(H248=0,"0/"&amp;I$247*100,H$247*100&amp;"/"&amp;I$247*100)))</f>
        <v>0</v>
      </c>
      <c r="I275" s="236"/>
      <c r="J275" s="233">
        <f>IF($G$5="","",IF(J$247=K$247,J$247*100,IF(K248=0,J$247*100&amp;"/0",IF(J248=0,"0/"&amp;K$247*100,J$247*100&amp;"/"&amp;K$247*100))))</f>
        <v>0</v>
      </c>
      <c r="K275" s="234"/>
    </row>
    <row r="276" spans="1:11" x14ac:dyDescent="0.2">
      <c r="A276" s="81" t="str">
        <f t="shared" ref="A276:A298" si="71">A249</f>
        <v>PI #2</v>
      </c>
      <c r="B276" s="233" t="e">
        <f>IF(B$247=C$247,B$247*100,IF(C249=0,B$247*100&amp;"/0",IF(B249=0,"0/"&amp;C$247*100,B$247*100&amp;"/"&amp;C$247*100)))</f>
        <v>#REF!</v>
      </c>
      <c r="C276" s="234"/>
      <c r="D276" s="235">
        <f t="shared" ref="D276:D298" si="72">IF(D$247=E$247,D$247*100,IF(E249=0,D$247*100&amp;"/0",IF(D249=0,"0/"&amp;E$247*100,D$247*100&amp;"/"&amp;E$247*100)))</f>
        <v>0</v>
      </c>
      <c r="E276" s="236"/>
      <c r="F276" s="235">
        <f t="shared" ref="F276:F298" si="73">IF(F$247=G$247,F$247*100,IF(G249=0,F$247*100&amp;"/0",IF(F249=0,"0/"&amp;G$247*100,F$247*100&amp;"/"&amp;G$247*100)))</f>
        <v>0</v>
      </c>
      <c r="G276" s="236"/>
      <c r="H276" s="235">
        <f t="shared" ref="H276:H298" si="74">IF(H$247=I$247,H$247*100,IF(I249=0,H$247*100&amp;"/0",IF(H249=0,"0/"&amp;I$247*100,H$247*100&amp;"/"&amp;I$247*100)))</f>
        <v>0</v>
      </c>
      <c r="I276" s="236"/>
      <c r="J276" s="233">
        <f t="shared" ref="J276:J298" si="75">IF($G$5="","",IF(J$247=K$247,J$247*100,IF(K249=0,J$247*100&amp;"/0",IF(J249=0,"0/"&amp;K$247*100,J$247*100&amp;"/"&amp;K$247*100))))</f>
        <v>0</v>
      </c>
      <c r="K276" s="234"/>
    </row>
    <row r="277" spans="1:11" x14ac:dyDescent="0.2">
      <c r="A277" s="81" t="str">
        <f t="shared" si="71"/>
        <v>TBN</v>
      </c>
      <c r="B277" s="233" t="e">
        <f>IF(B$247=C$247,B$247*100,IF(C250=0,B$247*100&amp;"/0",IF(B250=0,"0/"&amp;C$247*100,B$247*100&amp;"/"&amp;C$247*100)))</f>
        <v>#REF!</v>
      </c>
      <c r="C277" s="234"/>
      <c r="D277" s="235">
        <f t="shared" si="72"/>
        <v>0</v>
      </c>
      <c r="E277" s="236"/>
      <c r="F277" s="235">
        <f t="shared" si="73"/>
        <v>0</v>
      </c>
      <c r="G277" s="236"/>
      <c r="H277" s="235">
        <f t="shared" si="74"/>
        <v>0</v>
      </c>
      <c r="I277" s="236"/>
      <c r="J277" s="233">
        <f t="shared" si="75"/>
        <v>0</v>
      </c>
      <c r="K277" s="234"/>
    </row>
    <row r="278" spans="1:11" x14ac:dyDescent="0.2">
      <c r="A278" s="81" t="str">
        <f t="shared" si="71"/>
        <v>TBN</v>
      </c>
      <c r="B278" s="233" t="e">
        <f>IF(B$247=C$247,B$247*100,IF(C251=0,B$247*100&amp;"/0",IF(B251=0,"0/"&amp;C$247*100,B$247*100&amp;"/"&amp;C$247*100)))</f>
        <v>#REF!</v>
      </c>
      <c r="C278" s="234"/>
      <c r="D278" s="235">
        <f t="shared" si="72"/>
        <v>0</v>
      </c>
      <c r="E278" s="236"/>
      <c r="F278" s="235">
        <f t="shared" si="73"/>
        <v>0</v>
      </c>
      <c r="G278" s="236"/>
      <c r="H278" s="235">
        <f t="shared" si="74"/>
        <v>0</v>
      </c>
      <c r="I278" s="236"/>
      <c r="J278" s="233">
        <f t="shared" si="75"/>
        <v>0</v>
      </c>
      <c r="K278" s="234"/>
    </row>
    <row r="279" spans="1:11" x14ac:dyDescent="0.2">
      <c r="A279" s="81">
        <f t="shared" si="71"/>
        <v>0</v>
      </c>
      <c r="B279" s="233" t="e">
        <f t="shared" ref="B279:B298" si="76">IF(B$247=C$247,B$247*100,IF(C252=0,B$247*100&amp;"/0",IF(B252=0,"0/"&amp;C$247*100,B$247*100&amp;"/"&amp;C$247*100)))</f>
        <v>#REF!</v>
      </c>
      <c r="C279" s="234"/>
      <c r="D279" s="235">
        <f t="shared" si="72"/>
        <v>0</v>
      </c>
      <c r="E279" s="236"/>
      <c r="F279" s="235">
        <f t="shared" si="73"/>
        <v>0</v>
      </c>
      <c r="G279" s="236"/>
      <c r="H279" s="235">
        <f t="shared" si="74"/>
        <v>0</v>
      </c>
      <c r="I279" s="236"/>
      <c r="J279" s="233">
        <f t="shared" si="75"/>
        <v>0</v>
      </c>
      <c r="K279" s="234"/>
    </row>
    <row r="280" spans="1:11" x14ac:dyDescent="0.2">
      <c r="A280" s="81">
        <f t="shared" si="71"/>
        <v>0</v>
      </c>
      <c r="B280" s="233" t="e">
        <f t="shared" si="76"/>
        <v>#REF!</v>
      </c>
      <c r="C280" s="234"/>
      <c r="D280" s="235">
        <f t="shared" si="72"/>
        <v>0</v>
      </c>
      <c r="E280" s="236"/>
      <c r="F280" s="235">
        <f t="shared" si="73"/>
        <v>0</v>
      </c>
      <c r="G280" s="236"/>
      <c r="H280" s="235">
        <f t="shared" si="74"/>
        <v>0</v>
      </c>
      <c r="I280" s="236"/>
      <c r="J280" s="233">
        <f t="shared" si="75"/>
        <v>0</v>
      </c>
      <c r="K280" s="234"/>
    </row>
    <row r="281" spans="1:11" x14ac:dyDescent="0.2">
      <c r="A281" s="81">
        <f t="shared" si="71"/>
        <v>0</v>
      </c>
      <c r="B281" s="233" t="e">
        <f t="shared" si="76"/>
        <v>#REF!</v>
      </c>
      <c r="C281" s="234"/>
      <c r="D281" s="235">
        <f t="shared" si="72"/>
        <v>0</v>
      </c>
      <c r="E281" s="236"/>
      <c r="F281" s="235">
        <f t="shared" si="73"/>
        <v>0</v>
      </c>
      <c r="G281" s="236"/>
      <c r="H281" s="235">
        <f t="shared" si="74"/>
        <v>0</v>
      </c>
      <c r="I281" s="236"/>
      <c r="J281" s="233">
        <f t="shared" si="75"/>
        <v>0</v>
      </c>
      <c r="K281" s="234"/>
    </row>
    <row r="282" spans="1:11" x14ac:dyDescent="0.2">
      <c r="A282" s="81">
        <f t="shared" si="71"/>
        <v>0</v>
      </c>
      <c r="B282" s="233" t="e">
        <f t="shared" si="76"/>
        <v>#REF!</v>
      </c>
      <c r="C282" s="234"/>
      <c r="D282" s="235">
        <f t="shared" si="72"/>
        <v>0</v>
      </c>
      <c r="E282" s="236"/>
      <c r="F282" s="235">
        <f t="shared" si="73"/>
        <v>0</v>
      </c>
      <c r="G282" s="236"/>
      <c r="H282" s="235">
        <f t="shared" si="74"/>
        <v>0</v>
      </c>
      <c r="I282" s="236"/>
      <c r="J282" s="233">
        <f t="shared" si="75"/>
        <v>0</v>
      </c>
      <c r="K282" s="234"/>
    </row>
    <row r="283" spans="1:11" x14ac:dyDescent="0.2">
      <c r="A283" s="81">
        <f t="shared" si="71"/>
        <v>0</v>
      </c>
      <c r="B283" s="233" t="e">
        <f t="shared" si="76"/>
        <v>#REF!</v>
      </c>
      <c r="C283" s="234"/>
      <c r="D283" s="235">
        <f t="shared" si="72"/>
        <v>0</v>
      </c>
      <c r="E283" s="236"/>
      <c r="F283" s="235">
        <f t="shared" si="73"/>
        <v>0</v>
      </c>
      <c r="G283" s="236"/>
      <c r="H283" s="235">
        <f t="shared" si="74"/>
        <v>0</v>
      </c>
      <c r="I283" s="236"/>
      <c r="J283" s="233">
        <f t="shared" si="75"/>
        <v>0</v>
      </c>
      <c r="K283" s="234"/>
    </row>
    <row r="284" spans="1:11" x14ac:dyDescent="0.2">
      <c r="A284" s="81">
        <f t="shared" si="71"/>
        <v>0</v>
      </c>
      <c r="B284" s="233" t="e">
        <f t="shared" si="76"/>
        <v>#REF!</v>
      </c>
      <c r="C284" s="234"/>
      <c r="D284" s="235">
        <f t="shared" si="72"/>
        <v>0</v>
      </c>
      <c r="E284" s="236"/>
      <c r="F284" s="235">
        <f t="shared" si="73"/>
        <v>0</v>
      </c>
      <c r="G284" s="236"/>
      <c r="H284" s="235">
        <f t="shared" si="74"/>
        <v>0</v>
      </c>
      <c r="I284" s="236"/>
      <c r="J284" s="233">
        <f t="shared" si="75"/>
        <v>0</v>
      </c>
      <c r="K284" s="234"/>
    </row>
    <row r="285" spans="1:11" x14ac:dyDescent="0.2">
      <c r="A285" s="81">
        <f t="shared" si="71"/>
        <v>0</v>
      </c>
      <c r="B285" s="233" t="e">
        <f t="shared" si="76"/>
        <v>#REF!</v>
      </c>
      <c r="C285" s="234"/>
      <c r="D285" s="235">
        <f t="shared" si="72"/>
        <v>0</v>
      </c>
      <c r="E285" s="236"/>
      <c r="F285" s="235">
        <f t="shared" si="73"/>
        <v>0</v>
      </c>
      <c r="G285" s="236"/>
      <c r="H285" s="235">
        <f t="shared" si="74"/>
        <v>0</v>
      </c>
      <c r="I285" s="236"/>
      <c r="J285" s="233">
        <f t="shared" si="75"/>
        <v>0</v>
      </c>
      <c r="K285" s="234"/>
    </row>
    <row r="286" spans="1:11" x14ac:dyDescent="0.2">
      <c r="A286" s="81">
        <f t="shared" si="71"/>
        <v>0</v>
      </c>
      <c r="B286" s="233" t="e">
        <f t="shared" si="76"/>
        <v>#REF!</v>
      </c>
      <c r="C286" s="234"/>
      <c r="D286" s="235">
        <f t="shared" si="72"/>
        <v>0</v>
      </c>
      <c r="E286" s="236"/>
      <c r="F286" s="235">
        <f t="shared" si="73"/>
        <v>0</v>
      </c>
      <c r="G286" s="236"/>
      <c r="H286" s="235">
        <f t="shared" si="74"/>
        <v>0</v>
      </c>
      <c r="I286" s="236"/>
      <c r="J286" s="233">
        <f t="shared" si="75"/>
        <v>0</v>
      </c>
      <c r="K286" s="234"/>
    </row>
    <row r="287" spans="1:11" x14ac:dyDescent="0.2">
      <c r="A287" s="81">
        <f t="shared" si="71"/>
        <v>0</v>
      </c>
      <c r="B287" s="233" t="e">
        <f t="shared" si="76"/>
        <v>#REF!</v>
      </c>
      <c r="C287" s="234"/>
      <c r="D287" s="235">
        <f t="shared" si="72"/>
        <v>0</v>
      </c>
      <c r="E287" s="236"/>
      <c r="F287" s="235">
        <f t="shared" si="73"/>
        <v>0</v>
      </c>
      <c r="G287" s="236"/>
      <c r="H287" s="235">
        <f t="shared" si="74"/>
        <v>0</v>
      </c>
      <c r="I287" s="236"/>
      <c r="J287" s="233">
        <f t="shared" si="75"/>
        <v>0</v>
      </c>
      <c r="K287" s="234"/>
    </row>
    <row r="288" spans="1:11" x14ac:dyDescent="0.2">
      <c r="A288" s="81">
        <f t="shared" si="71"/>
        <v>0</v>
      </c>
      <c r="B288" s="233" t="e">
        <f t="shared" si="76"/>
        <v>#REF!</v>
      </c>
      <c r="C288" s="234"/>
      <c r="D288" s="235">
        <f t="shared" si="72"/>
        <v>0</v>
      </c>
      <c r="E288" s="236"/>
      <c r="F288" s="235">
        <f t="shared" si="73"/>
        <v>0</v>
      </c>
      <c r="G288" s="236"/>
      <c r="H288" s="235">
        <f t="shared" si="74"/>
        <v>0</v>
      </c>
      <c r="I288" s="236"/>
      <c r="J288" s="233">
        <f t="shared" si="75"/>
        <v>0</v>
      </c>
      <c r="K288" s="234"/>
    </row>
    <row r="289" spans="1:11" x14ac:dyDescent="0.2">
      <c r="A289" s="81">
        <f t="shared" si="71"/>
        <v>0</v>
      </c>
      <c r="B289" s="233" t="e">
        <f t="shared" si="76"/>
        <v>#REF!</v>
      </c>
      <c r="C289" s="234"/>
      <c r="D289" s="235">
        <f t="shared" si="72"/>
        <v>0</v>
      </c>
      <c r="E289" s="236"/>
      <c r="F289" s="235">
        <f t="shared" si="73"/>
        <v>0</v>
      </c>
      <c r="G289" s="236"/>
      <c r="H289" s="235">
        <f t="shared" si="74"/>
        <v>0</v>
      </c>
      <c r="I289" s="236"/>
      <c r="J289" s="233">
        <f t="shared" si="75"/>
        <v>0</v>
      </c>
      <c r="K289" s="234"/>
    </row>
    <row r="290" spans="1:11" x14ac:dyDescent="0.2">
      <c r="A290" s="81">
        <f t="shared" si="71"/>
        <v>0</v>
      </c>
      <c r="B290" s="233" t="e">
        <f t="shared" si="76"/>
        <v>#REF!</v>
      </c>
      <c r="C290" s="234"/>
      <c r="D290" s="235">
        <f t="shared" si="72"/>
        <v>0</v>
      </c>
      <c r="E290" s="236"/>
      <c r="F290" s="235">
        <f t="shared" si="73"/>
        <v>0</v>
      </c>
      <c r="G290" s="236"/>
      <c r="H290" s="235">
        <f t="shared" si="74"/>
        <v>0</v>
      </c>
      <c r="I290" s="236"/>
      <c r="J290" s="233">
        <f t="shared" si="75"/>
        <v>0</v>
      </c>
      <c r="K290" s="234"/>
    </row>
    <row r="291" spans="1:11" x14ac:dyDescent="0.2">
      <c r="A291" s="81">
        <f t="shared" si="71"/>
        <v>0</v>
      </c>
      <c r="B291" s="233" t="e">
        <f t="shared" si="76"/>
        <v>#REF!</v>
      </c>
      <c r="C291" s="234"/>
      <c r="D291" s="235">
        <f t="shared" si="72"/>
        <v>0</v>
      </c>
      <c r="E291" s="236"/>
      <c r="F291" s="235">
        <f t="shared" si="73"/>
        <v>0</v>
      </c>
      <c r="G291" s="236"/>
      <c r="H291" s="235">
        <f t="shared" si="74"/>
        <v>0</v>
      </c>
      <c r="I291" s="236"/>
      <c r="J291" s="233">
        <f t="shared" si="75"/>
        <v>0</v>
      </c>
      <c r="K291" s="234"/>
    </row>
    <row r="292" spans="1:11" x14ac:dyDescent="0.2">
      <c r="A292" s="81">
        <f t="shared" si="71"/>
        <v>0</v>
      </c>
      <c r="B292" s="233" t="e">
        <f t="shared" si="76"/>
        <v>#REF!</v>
      </c>
      <c r="C292" s="234"/>
      <c r="D292" s="235">
        <f t="shared" si="72"/>
        <v>0</v>
      </c>
      <c r="E292" s="236"/>
      <c r="F292" s="235">
        <f t="shared" si="73"/>
        <v>0</v>
      </c>
      <c r="G292" s="236"/>
      <c r="H292" s="235">
        <f t="shared" si="74"/>
        <v>0</v>
      </c>
      <c r="I292" s="236"/>
      <c r="J292" s="233">
        <f t="shared" si="75"/>
        <v>0</v>
      </c>
      <c r="K292" s="234"/>
    </row>
    <row r="293" spans="1:11" x14ac:dyDescent="0.2">
      <c r="A293" s="81">
        <f t="shared" si="71"/>
        <v>0</v>
      </c>
      <c r="B293" s="233" t="e">
        <f t="shared" si="76"/>
        <v>#REF!</v>
      </c>
      <c r="C293" s="234"/>
      <c r="D293" s="235">
        <f t="shared" si="72"/>
        <v>0</v>
      </c>
      <c r="E293" s="236"/>
      <c r="F293" s="235">
        <f t="shared" si="73"/>
        <v>0</v>
      </c>
      <c r="G293" s="236"/>
      <c r="H293" s="235">
        <f t="shared" si="74"/>
        <v>0</v>
      </c>
      <c r="I293" s="236"/>
      <c r="J293" s="233">
        <f t="shared" si="75"/>
        <v>0</v>
      </c>
      <c r="K293" s="234"/>
    </row>
    <row r="294" spans="1:11" x14ac:dyDescent="0.2">
      <c r="A294" s="81">
        <f t="shared" si="71"/>
        <v>0</v>
      </c>
      <c r="B294" s="233" t="e">
        <f t="shared" si="76"/>
        <v>#REF!</v>
      </c>
      <c r="C294" s="234"/>
      <c r="D294" s="235">
        <f t="shared" si="72"/>
        <v>0</v>
      </c>
      <c r="E294" s="236"/>
      <c r="F294" s="235">
        <f t="shared" si="73"/>
        <v>0</v>
      </c>
      <c r="G294" s="236"/>
      <c r="H294" s="235">
        <f t="shared" si="74"/>
        <v>0</v>
      </c>
      <c r="I294" s="236"/>
      <c r="J294" s="233">
        <f t="shared" si="75"/>
        <v>0</v>
      </c>
      <c r="K294" s="234"/>
    </row>
    <row r="295" spans="1:11" x14ac:dyDescent="0.2">
      <c r="A295" s="81">
        <f t="shared" si="71"/>
        <v>0</v>
      </c>
      <c r="B295" s="233" t="e">
        <f t="shared" si="76"/>
        <v>#REF!</v>
      </c>
      <c r="C295" s="234"/>
      <c r="D295" s="235">
        <f t="shared" si="72"/>
        <v>0</v>
      </c>
      <c r="E295" s="236"/>
      <c r="F295" s="235">
        <f t="shared" si="73"/>
        <v>0</v>
      </c>
      <c r="G295" s="236"/>
      <c r="H295" s="235">
        <f t="shared" si="74"/>
        <v>0</v>
      </c>
      <c r="I295" s="236"/>
      <c r="J295" s="233">
        <f t="shared" si="75"/>
        <v>0</v>
      </c>
      <c r="K295" s="234"/>
    </row>
    <row r="296" spans="1:11" x14ac:dyDescent="0.2">
      <c r="A296" s="81">
        <f t="shared" si="71"/>
        <v>0</v>
      </c>
      <c r="B296" s="233" t="e">
        <f t="shared" si="76"/>
        <v>#REF!</v>
      </c>
      <c r="C296" s="234"/>
      <c r="D296" s="235">
        <f t="shared" si="72"/>
        <v>0</v>
      </c>
      <c r="E296" s="236"/>
      <c r="F296" s="235">
        <f t="shared" si="73"/>
        <v>0</v>
      </c>
      <c r="G296" s="236"/>
      <c r="H296" s="235">
        <f t="shared" si="74"/>
        <v>0</v>
      </c>
      <c r="I296" s="236"/>
      <c r="J296" s="233">
        <f t="shared" si="75"/>
        <v>0</v>
      </c>
      <c r="K296" s="234"/>
    </row>
    <row r="297" spans="1:11" x14ac:dyDescent="0.2">
      <c r="A297" s="81">
        <f t="shared" si="71"/>
        <v>0</v>
      </c>
      <c r="B297" s="233" t="e">
        <f t="shared" si="76"/>
        <v>#REF!</v>
      </c>
      <c r="C297" s="234"/>
      <c r="D297" s="235">
        <f t="shared" si="72"/>
        <v>0</v>
      </c>
      <c r="E297" s="236"/>
      <c r="F297" s="235">
        <f t="shared" si="73"/>
        <v>0</v>
      </c>
      <c r="G297" s="236"/>
      <c r="H297" s="235">
        <f t="shared" si="74"/>
        <v>0</v>
      </c>
      <c r="I297" s="236"/>
      <c r="J297" s="233">
        <f t="shared" si="75"/>
        <v>0</v>
      </c>
      <c r="K297" s="234"/>
    </row>
    <row r="298" spans="1:11" x14ac:dyDescent="0.2">
      <c r="A298" s="81">
        <f t="shared" si="71"/>
        <v>0</v>
      </c>
      <c r="B298" s="233" t="e">
        <f t="shared" si="76"/>
        <v>#REF!</v>
      </c>
      <c r="C298" s="234"/>
      <c r="D298" s="235">
        <f t="shared" si="72"/>
        <v>0</v>
      </c>
      <c r="E298" s="236"/>
      <c r="F298" s="235">
        <f t="shared" si="73"/>
        <v>0</v>
      </c>
      <c r="G298" s="236"/>
      <c r="H298" s="235">
        <f t="shared" si="74"/>
        <v>0</v>
      </c>
      <c r="I298" s="236"/>
      <c r="J298" s="233">
        <f t="shared" si="75"/>
        <v>0</v>
      </c>
      <c r="K298" s="234"/>
    </row>
    <row r="300" spans="1:11" x14ac:dyDescent="0.2">
      <c r="A300" s="79" t="s">
        <v>127</v>
      </c>
      <c r="B300" s="232"/>
      <c r="C300" s="232"/>
      <c r="D300" s="232"/>
      <c r="E300" s="232"/>
      <c r="F300" s="232"/>
      <c r="G300" s="232"/>
      <c r="H300" s="232"/>
      <c r="I300" s="232"/>
      <c r="J300" s="232"/>
      <c r="K300" s="232"/>
    </row>
    <row r="301" spans="1:11" x14ac:dyDescent="0.2">
      <c r="A301" s="81" t="str">
        <f>A275</f>
        <v xml:space="preserve">PI #1 </v>
      </c>
      <c r="B301" s="237" t="e">
        <f>ROUND(Request!N8/Worksheet!H177*Worksheet!B248*Worksheet!$B$247+Request!N8/Worksheet!H177*Worksheet!C248*Worksheet!C247,0)</f>
        <v>#REF!</v>
      </c>
      <c r="C301" s="238"/>
      <c r="D301" s="237" t="e">
        <f>ROUND(Request!O8/(D248+E248)*Worksheet!D248*Worksheet!D$247+Request!O8/(D248+E248)*Worksheet!E248*Worksheet!E$247,0)</f>
        <v>#REF!</v>
      </c>
      <c r="E301" s="238"/>
      <c r="F301" s="237" t="e">
        <f>ROUND(Request!P8/(F248+G248)*Worksheet!F248*Worksheet!F$247+Request!P8/(F248+G248)*Worksheet!G248*Worksheet!G$247,0)</f>
        <v>#REF!</v>
      </c>
      <c r="G301" s="238"/>
      <c r="H301" s="237" t="e">
        <f>ROUND(Request!Q8/(H248+I248)*Worksheet!H248*Worksheet!H$247+Request!Q8/(H248+I248)*Worksheet!I248*Worksheet!I$247,0)</f>
        <v>#REF!</v>
      </c>
      <c r="I301" s="238"/>
      <c r="J301" s="237" t="str">
        <f>IF(J275=0,"",ROUND(Request!R8/(J248+K248)*Worksheet!J248*Worksheet!J$247+Request!R8/(J248+K248)*Worksheet!K248*Worksheet!K$247,0))</f>
        <v/>
      </c>
      <c r="K301" s="238"/>
    </row>
    <row r="302" spans="1:11" x14ac:dyDescent="0.2">
      <c r="A302" s="81" t="str">
        <f t="shared" ref="A302:A324" si="77">A276</f>
        <v>PI #2</v>
      </c>
      <c r="B302" s="237" t="e">
        <f>ROUND(Request!N9/Worksheet!H178*Worksheet!B249*Worksheet!$B$247+Request!N9/Worksheet!H178*Worksheet!C249*Worksheet!$C$247,0)</f>
        <v>#REF!</v>
      </c>
      <c r="C302" s="238"/>
      <c r="D302" s="237" t="e">
        <f>ROUND(Request!O9/(D249+E249)*Worksheet!D249*Worksheet!D$247+Request!O9/(D249+E249)*Worksheet!E249*Worksheet!E$247,0)</f>
        <v>#REF!</v>
      </c>
      <c r="E302" s="238"/>
      <c r="F302" s="237" t="e">
        <f>ROUND(Request!P9/(F249+G249)*Worksheet!F249*Worksheet!F$247+Request!P9/(F249+G249)*Worksheet!G249*Worksheet!G$247,0)</f>
        <v>#REF!</v>
      </c>
      <c r="G302" s="238"/>
      <c r="H302" s="237" t="e">
        <f>ROUND(Request!Q9/(H249+I249)*Worksheet!H249*Worksheet!H$247+Request!Q9/(H249+I249)*Worksheet!I249*Worksheet!I$247,0)</f>
        <v>#REF!</v>
      </c>
      <c r="I302" s="238"/>
      <c r="J302" s="237" t="str">
        <f>IF(J276=0,"",ROUND(Request!R9/(J249+K249)*Worksheet!J249*Worksheet!J$247+Request!R9/(J249+K249)*Worksheet!K249*Worksheet!K$247,0))</f>
        <v/>
      </c>
      <c r="K302" s="238"/>
    </row>
    <row r="303" spans="1:11" x14ac:dyDescent="0.2">
      <c r="A303" s="81" t="str">
        <f t="shared" si="77"/>
        <v>TBN</v>
      </c>
      <c r="B303" s="237" t="e">
        <f>ROUND(Request!N10/Worksheet!H179*Worksheet!B250*Worksheet!$B$247+Request!N10/Worksheet!H179*Worksheet!C250*Worksheet!$C$247,0)</f>
        <v>#REF!</v>
      </c>
      <c r="C303" s="238"/>
      <c r="D303" s="237" t="e">
        <f>ROUND(Request!O10/(D250+E250)*Worksheet!D250*Worksheet!D$247+Request!O10/(D250+E250)*Worksheet!E250*Worksheet!E$247,0)</f>
        <v>#REF!</v>
      </c>
      <c r="E303" s="238"/>
      <c r="F303" s="237" t="e">
        <f>ROUND(Request!P10/(F250+G250)*Worksheet!F250*Worksheet!F$247+Request!P10/(F250+G250)*Worksheet!G250*Worksheet!G$247,0)</f>
        <v>#REF!</v>
      </c>
      <c r="G303" s="238"/>
      <c r="H303" s="237" t="e">
        <f>ROUND(Request!Q10/(H250+I250)*Worksheet!H250*Worksheet!H$247+Request!Q10/(H250+I250)*Worksheet!I250*Worksheet!I$247,0)</f>
        <v>#REF!</v>
      </c>
      <c r="I303" s="238"/>
      <c r="J303" s="237" t="str">
        <f>IF(J277=0,"",ROUND(Request!R10/(J250+K250)*Worksheet!J250*Worksheet!J$247+Request!R10/(J250+K250)*Worksheet!K250*Worksheet!K$247,0))</f>
        <v/>
      </c>
      <c r="K303" s="238"/>
    </row>
    <row r="304" spans="1:11" x14ac:dyDescent="0.2">
      <c r="A304" s="81" t="str">
        <f t="shared" si="77"/>
        <v>TBN</v>
      </c>
      <c r="B304" s="237" t="e">
        <f>ROUND(Request!N11/Worksheet!H180*Worksheet!B251*Worksheet!$B$247+Request!N11/Worksheet!H180*Worksheet!C251*Worksheet!$C$247,0)</f>
        <v>#REF!</v>
      </c>
      <c r="C304" s="238"/>
      <c r="D304" s="237" t="e">
        <f>ROUND(Request!O11/(D251+E251)*Worksheet!D251*Worksheet!D$247+Request!O11/(D251+E251)*Worksheet!E251*Worksheet!E$247,0)</f>
        <v>#REF!</v>
      </c>
      <c r="E304" s="238"/>
      <c r="F304" s="237" t="e">
        <f>ROUND(Request!P11/(F251+G251)*Worksheet!F251*Worksheet!F$247+Request!P11/(F251+G251)*Worksheet!G251*Worksheet!G$247,0)</f>
        <v>#REF!</v>
      </c>
      <c r="G304" s="238"/>
      <c r="H304" s="237" t="e">
        <f>ROUND(Request!Q11/(H251+I251)*Worksheet!H251*Worksheet!H$247+Request!Q11/(H251+I251)*Worksheet!I251*Worksheet!I$247,0)</f>
        <v>#REF!</v>
      </c>
      <c r="I304" s="238"/>
      <c r="J304" s="237" t="str">
        <f>IF(J278=0,"",ROUND(Request!R11/(J251+K251)*Worksheet!J251*Worksheet!J$247+Request!R11/(J251+K251)*Worksheet!K251*Worksheet!K$247,0))</f>
        <v/>
      </c>
      <c r="K304" s="238"/>
    </row>
    <row r="305" spans="1:12" x14ac:dyDescent="0.2">
      <c r="A305" s="81">
        <f t="shared" si="77"/>
        <v>0</v>
      </c>
      <c r="B305" s="237" t="e">
        <f>IF((B252+C252)&lt;&gt;0,ROUND(Request!N12/Worksheet!H181*Worksheet!B252*Worksheet!$B$247+Request!N12/Worksheet!H181*Worksheet!C252*Worksheet!$C$247,0),0)</f>
        <v>#REF!</v>
      </c>
      <c r="C305" s="238"/>
      <c r="D305" s="237" t="e">
        <f>ROUND(Request!O12/(D252+E252)*Worksheet!D252*Worksheet!D$247+Request!O12/(D252+E252)*Worksheet!E252*Worksheet!E$247,0)</f>
        <v>#REF!</v>
      </c>
      <c r="E305" s="238"/>
      <c r="F305" s="237" t="e">
        <f>ROUND(Request!P12/(F252+G252)*Worksheet!F252*Worksheet!F$247+Request!P12/(F252+G252)*Worksheet!G252*Worksheet!G$247,0)</f>
        <v>#REF!</v>
      </c>
      <c r="G305" s="238"/>
      <c r="H305" s="237" t="e">
        <f>ROUND(Request!Q12/(H252+I252)*Worksheet!H252*Worksheet!H$247+Request!Q12/(H252+I252)*Worksheet!I252*Worksheet!I$247,0)</f>
        <v>#REF!</v>
      </c>
      <c r="I305" s="238"/>
      <c r="J305" s="237" t="str">
        <f>IF(J279=0,"",ROUND(Request!R12/(J252+K252)*Worksheet!J252*Worksheet!J$247+Request!R12/(J252+K252)*Worksheet!K252*Worksheet!K$247,0))</f>
        <v/>
      </c>
      <c r="K305" s="238"/>
      <c r="L305" s="17"/>
    </row>
    <row r="306" spans="1:12" x14ac:dyDescent="0.2">
      <c r="A306" s="81">
        <f t="shared" si="77"/>
        <v>0</v>
      </c>
      <c r="B306" s="237" t="e">
        <f>IF((B253+C253)&lt;&gt;0,ROUND(Request!N13/Worksheet!H182*Worksheet!B253*Worksheet!$B$247+Request!N13/Worksheet!H182*Worksheet!C253*Worksheet!$C$247,0),0)</f>
        <v>#REF!</v>
      </c>
      <c r="C306" s="238"/>
      <c r="D306" s="237" t="e">
        <f>ROUND(Request!O13/(D253+E253)*Worksheet!D253*Worksheet!D$247+Request!O13/(D253+E253)*Worksheet!E253*Worksheet!E$247,0)</f>
        <v>#REF!</v>
      </c>
      <c r="E306" s="238"/>
      <c r="F306" s="237" t="e">
        <f>ROUND(Request!P13/(F253+G253)*Worksheet!F253*Worksheet!F$247+Request!P13/(F253+G253)*Worksheet!G253*Worksheet!G$247,0)</f>
        <v>#REF!</v>
      </c>
      <c r="G306" s="238"/>
      <c r="H306" s="237" t="e">
        <f>ROUND(Request!Q13/(H253+I253)*Worksheet!H253*Worksheet!H$247+Request!Q13/(H253+I253)*Worksheet!I253*Worksheet!I$247,0)</f>
        <v>#REF!</v>
      </c>
      <c r="I306" s="238"/>
      <c r="J306" s="237" t="str">
        <f>IF(J280=0,"",ROUND(Request!R13/(J253+K253)*Worksheet!J253*Worksheet!J$247+Request!R13/(J253+K253)*Worksheet!K253*Worksheet!K$247,0))</f>
        <v/>
      </c>
      <c r="K306" s="238"/>
    </row>
    <row r="307" spans="1:12" x14ac:dyDescent="0.2">
      <c r="A307" s="81">
        <f t="shared" si="77"/>
        <v>0</v>
      </c>
      <c r="B307" s="237" t="e">
        <f>IF((B254+C254)&lt;&gt;0,ROUND(Request!N14/Worksheet!H183*Worksheet!B254*Worksheet!$B$247+Request!N14/Worksheet!H183*Worksheet!C254*Worksheet!$C$247,0),0)</f>
        <v>#REF!</v>
      </c>
      <c r="C307" s="238"/>
      <c r="D307" s="237" t="e">
        <f>ROUND(Request!O14/(D254+E254)*Worksheet!D254*Worksheet!D$247+Request!O14/(D254+E254)*Worksheet!E254*Worksheet!E$247,0)</f>
        <v>#REF!</v>
      </c>
      <c r="E307" s="238"/>
      <c r="F307" s="237" t="e">
        <f>ROUND(Request!P14/(F254+G254)*Worksheet!F254*Worksheet!F$247+Request!P14/(F254+G254)*Worksheet!G254*Worksheet!G$247,0)</f>
        <v>#REF!</v>
      </c>
      <c r="G307" s="238"/>
      <c r="H307" s="237" t="e">
        <f>ROUND(Request!Q14/(H254+I254)*Worksheet!H254*Worksheet!H$247+Request!Q14/(H254+I254)*Worksheet!I254*Worksheet!I$247,0)</f>
        <v>#REF!</v>
      </c>
      <c r="I307" s="238"/>
      <c r="J307" s="237" t="str">
        <f>IF(J281=0,"",ROUND(Request!R14/(J254+K254)*Worksheet!J254*Worksheet!J$247+Request!R14/(J254+K254)*Worksheet!K254*Worksheet!K$247,0))</f>
        <v/>
      </c>
      <c r="K307" s="238"/>
    </row>
    <row r="308" spans="1:12" x14ac:dyDescent="0.2">
      <c r="A308" s="81">
        <f t="shared" si="77"/>
        <v>0</v>
      </c>
      <c r="B308" s="237" t="e">
        <f>IF((B255+C255)&lt;&gt;0,ROUND(Request!N15/Worksheet!H184*Worksheet!B255*Worksheet!$B$247+Request!N15/Worksheet!H184*Worksheet!C255*Worksheet!$C$247,0),0)</f>
        <v>#REF!</v>
      </c>
      <c r="C308" s="238"/>
      <c r="D308" s="237" t="e">
        <f>ROUND(Request!O15/(D255+E255)*Worksheet!D255*Worksheet!D$247+Request!O15/(D255+E255)*Worksheet!E255*Worksheet!E$247,0)</f>
        <v>#REF!</v>
      </c>
      <c r="E308" s="238"/>
      <c r="F308" s="237" t="e">
        <f>ROUND(Request!P15/(F255+G255)*Worksheet!F255*Worksheet!F$247+Request!P15/(F255+G255)*Worksheet!G255*Worksheet!G$247,0)</f>
        <v>#REF!</v>
      </c>
      <c r="G308" s="238"/>
      <c r="H308" s="237" t="e">
        <f>ROUND(Request!Q15/(H255+I255)*Worksheet!H255*Worksheet!H$247+Request!Q15/(H255+I255)*Worksheet!I255*Worksheet!I$247,0)</f>
        <v>#REF!</v>
      </c>
      <c r="I308" s="238"/>
      <c r="J308" s="237" t="str">
        <f>IF(J282=0,"",ROUND(Request!R15/(J255+K255)*Worksheet!J255*Worksheet!J$247+Request!R15/(J255+K255)*Worksheet!K255*Worksheet!K$247,0))</f>
        <v/>
      </c>
      <c r="K308" s="238"/>
    </row>
    <row r="309" spans="1:12" x14ac:dyDescent="0.2">
      <c r="A309" s="81">
        <f t="shared" si="77"/>
        <v>0</v>
      </c>
      <c r="B309" s="237" t="e">
        <f>IF((B256+C256)&lt;&gt;0,ROUND(Request!N16/Worksheet!H185*Worksheet!B256*Worksheet!$B$247+Request!N16/Worksheet!H185*Worksheet!C256*Worksheet!$C$247,0),0)</f>
        <v>#REF!</v>
      </c>
      <c r="C309" s="238"/>
      <c r="D309" s="237" t="e">
        <f>ROUND(Request!O16/(D256+E256)*Worksheet!D256*Worksheet!D$247+Request!O16/(D256+E256)*Worksheet!E256*Worksheet!E$247,0)</f>
        <v>#REF!</v>
      </c>
      <c r="E309" s="238"/>
      <c r="F309" s="237" t="e">
        <f>ROUND(Request!P16/(F256+G256)*Worksheet!F256*Worksheet!F$247+Request!P16/(F256+G256)*Worksheet!G256*Worksheet!G$247,0)</f>
        <v>#REF!</v>
      </c>
      <c r="G309" s="238"/>
      <c r="H309" s="237" t="e">
        <f>ROUND(Request!Q16/(H256+I256)*Worksheet!H256*Worksheet!H$247+Request!Q16/(H256+I256)*Worksheet!I256*Worksheet!I$247,0)</f>
        <v>#REF!</v>
      </c>
      <c r="I309" s="238"/>
      <c r="J309" s="237" t="str">
        <f>IF(J283=0,"",ROUND(Request!R16/(J256+K256)*Worksheet!J256*Worksheet!J$247+Request!R16/(J256+K256)*Worksheet!K256*Worksheet!K$247,0))</f>
        <v/>
      </c>
      <c r="K309" s="238"/>
    </row>
    <row r="310" spans="1:12" x14ac:dyDescent="0.2">
      <c r="A310" s="81">
        <f t="shared" si="77"/>
        <v>0</v>
      </c>
      <c r="B310" s="237" t="e">
        <f>IF((B257+C257)&lt;&gt;0,ROUND(Request!N17/Worksheet!H186*Worksheet!B257*Worksheet!$B$247+Request!N17/Worksheet!H186*Worksheet!C257*Worksheet!$C$247,0),0)</f>
        <v>#REF!</v>
      </c>
      <c r="C310" s="238"/>
      <c r="D310" s="237" t="e">
        <f>ROUND(Request!O17/(D257+E257)*Worksheet!D257*Worksheet!D$247+Request!O17/(D257+E257)*Worksheet!E257*Worksheet!E$247,0)</f>
        <v>#REF!</v>
      </c>
      <c r="E310" s="238"/>
      <c r="F310" s="237" t="e">
        <f>ROUND(Request!P17/(F257+G257)*Worksheet!F257*Worksheet!F$247+Request!P17/(F257+G257)*Worksheet!G257*Worksheet!G$247,0)</f>
        <v>#REF!</v>
      </c>
      <c r="G310" s="238"/>
      <c r="H310" s="237" t="e">
        <f>ROUND(Request!Q17/(H257+I257)*Worksheet!H257*Worksheet!H$247+Request!Q17/(H257+I257)*Worksheet!I257*Worksheet!I$247,0)</f>
        <v>#REF!</v>
      </c>
      <c r="I310" s="238"/>
      <c r="J310" s="237" t="str">
        <f>IF(J284=0,"",ROUND(Request!R17/(J257+K257)*Worksheet!J257*Worksheet!J$247+Request!R17/(J257+K257)*Worksheet!K257*Worksheet!K$247,0))</f>
        <v/>
      </c>
      <c r="K310" s="238"/>
    </row>
    <row r="311" spans="1:12" x14ac:dyDescent="0.2">
      <c r="A311" s="81">
        <f t="shared" si="77"/>
        <v>0</v>
      </c>
      <c r="B311" s="237" t="e">
        <f>IF((B258+C258)&lt;&gt;0,ROUND(Request!N18/Worksheet!H187*Worksheet!B258*Worksheet!$B$247+Request!N18/Worksheet!H187*Worksheet!C258*Worksheet!$C$247,0),0)</f>
        <v>#REF!</v>
      </c>
      <c r="C311" s="238"/>
      <c r="D311" s="237" t="e">
        <f>ROUND(Request!O18/(D258+E258)*Worksheet!D258*Worksheet!D$247+Request!O18/(D258+E258)*Worksheet!E258*Worksheet!E$247,0)</f>
        <v>#REF!</v>
      </c>
      <c r="E311" s="238"/>
      <c r="F311" s="237" t="e">
        <f>ROUND(Request!P18/(F258+G258)*Worksheet!F258*Worksheet!F$247+Request!P18/(F258+G258)*Worksheet!G258*Worksheet!G$247,0)</f>
        <v>#REF!</v>
      </c>
      <c r="G311" s="238"/>
      <c r="H311" s="237" t="e">
        <f>ROUND(Request!Q18/(H258+I258)*Worksheet!H258*Worksheet!H$247+Request!Q18/(H258+I258)*Worksheet!I258*Worksheet!I$247,0)</f>
        <v>#REF!</v>
      </c>
      <c r="I311" s="238"/>
      <c r="J311" s="237" t="str">
        <f>IF(J285=0,"",ROUND(Request!R18/(J258+K258)*Worksheet!J258*Worksheet!J$247+Request!R18/(J258+K258)*Worksheet!K258*Worksheet!K$247,0))</f>
        <v/>
      </c>
      <c r="K311" s="238"/>
    </row>
    <row r="312" spans="1:12" x14ac:dyDescent="0.2">
      <c r="A312" s="81">
        <f t="shared" si="77"/>
        <v>0</v>
      </c>
      <c r="B312" s="237" t="e">
        <f>IF((B259+C259)&lt;&gt;0,ROUND(Request!N19/Worksheet!H188*Worksheet!B259*Worksheet!$B$247+Request!N19/Worksheet!H188*Worksheet!C259*Worksheet!$C$247,0),0)</f>
        <v>#REF!</v>
      </c>
      <c r="C312" s="238"/>
      <c r="D312" s="237" t="e">
        <f>ROUND(Request!O19/(D259+E259)*Worksheet!D259*Worksheet!D$247+Request!O19/(D259+E259)*Worksheet!E259*Worksheet!E$247,0)</f>
        <v>#REF!</v>
      </c>
      <c r="E312" s="238"/>
      <c r="F312" s="237" t="e">
        <f>ROUND(Request!P19/(F259+G259)*Worksheet!F259*Worksheet!F$247+Request!P19/(F259+G259)*Worksheet!G259*Worksheet!G$247,0)</f>
        <v>#REF!</v>
      </c>
      <c r="G312" s="238"/>
      <c r="H312" s="237" t="e">
        <f>ROUND(Request!Q19/(H259+I259)*Worksheet!H259*Worksheet!H$247+Request!Q19/(H259+I259)*Worksheet!I259*Worksheet!I$247,0)</f>
        <v>#REF!</v>
      </c>
      <c r="I312" s="238"/>
      <c r="J312" s="237" t="str">
        <f>IF(J286=0,"",ROUND(Request!R19/(J259+K259)*Worksheet!J259*Worksheet!J$247+Request!R19/(J259+K259)*Worksheet!K259*Worksheet!K$247,0))</f>
        <v/>
      </c>
      <c r="K312" s="238"/>
    </row>
    <row r="313" spans="1:12" x14ac:dyDescent="0.2">
      <c r="A313" s="81">
        <f t="shared" si="77"/>
        <v>0</v>
      </c>
      <c r="B313" s="237" t="e">
        <f>IF((B260+C260)&lt;&gt;0,ROUND(Request!N20/Worksheet!H189*Worksheet!B260*Worksheet!$B$247+Request!N20/Worksheet!H189*Worksheet!C260*Worksheet!$C$247,0),0)</f>
        <v>#REF!</v>
      </c>
      <c r="C313" s="238"/>
      <c r="D313" s="237" t="e">
        <f>ROUND(Request!O20/(D260+E260)*Worksheet!D260*Worksheet!D$247+Request!O20/(D260+E260)*Worksheet!E260*Worksheet!E$247,0)</f>
        <v>#REF!</v>
      </c>
      <c r="E313" s="238"/>
      <c r="F313" s="237" t="e">
        <f>ROUND(Request!P20/(F260+G260)*Worksheet!F260*Worksheet!F$247+Request!P20/(F260+G260)*Worksheet!G260*Worksheet!G$247,0)</f>
        <v>#REF!</v>
      </c>
      <c r="G313" s="238"/>
      <c r="H313" s="237" t="e">
        <f>ROUND(Request!Q20/(H260+I260)*Worksheet!H260*Worksheet!H$247+Request!Q20/(H260+I260)*Worksheet!I260*Worksheet!I$247,0)</f>
        <v>#REF!</v>
      </c>
      <c r="I313" s="238"/>
      <c r="J313" s="237" t="str">
        <f>IF(J287=0,"",ROUND(Request!R20/(J260+K260)*Worksheet!J260*Worksheet!J$247+Request!R20/(J260+K260)*Worksheet!K260*Worksheet!K$247,0))</f>
        <v/>
      </c>
      <c r="K313" s="238"/>
    </row>
    <row r="314" spans="1:12" x14ac:dyDescent="0.2">
      <c r="A314" s="81">
        <f t="shared" si="77"/>
        <v>0</v>
      </c>
      <c r="B314" s="237" t="e">
        <f>IF((B261+C261)&lt;&gt;0,ROUND(Request!N21/Worksheet!H190*Worksheet!B261*Worksheet!$B$247+Request!N21/Worksheet!H190*Worksheet!C261*Worksheet!$C$247,0),0)</f>
        <v>#REF!</v>
      </c>
      <c r="C314" s="238"/>
      <c r="D314" s="237" t="e">
        <f>ROUND(Request!O21/(D261+E261)*Worksheet!D261*Worksheet!D$247+Request!O21/(D261+E261)*Worksheet!E261*Worksheet!E$247,0)</f>
        <v>#REF!</v>
      </c>
      <c r="E314" s="238"/>
      <c r="F314" s="237" t="e">
        <f>ROUND(Request!P21/(F261+G261)*Worksheet!F261*Worksheet!F$247+Request!P21/(F261+G261)*Worksheet!G261*Worksheet!G$247,0)</f>
        <v>#REF!</v>
      </c>
      <c r="G314" s="238"/>
      <c r="H314" s="237" t="e">
        <f>ROUND(Request!Q21/(H261+I261)*Worksheet!H261*Worksheet!H$247+Request!Q21/(H261+I261)*Worksheet!I261*Worksheet!I$247,0)</f>
        <v>#REF!</v>
      </c>
      <c r="I314" s="238"/>
      <c r="J314" s="237" t="str">
        <f>IF(J288=0,"",ROUND(Request!R21/(J261+K261)*Worksheet!J261*Worksheet!J$247+Request!R21/(J261+K261)*Worksheet!K261*Worksheet!K$247,0))</f>
        <v/>
      </c>
      <c r="K314" s="238"/>
    </row>
    <row r="315" spans="1:12" x14ac:dyDescent="0.2">
      <c r="A315" s="81">
        <f t="shared" si="77"/>
        <v>0</v>
      </c>
      <c r="B315" s="237" t="e">
        <f>IF((B262+C262)&lt;&gt;0,ROUND(Request!N22/Worksheet!H191*Worksheet!B262*Worksheet!$B$247+Request!N22/Worksheet!H191*Worksheet!C262*Worksheet!$C$247,0),0)</f>
        <v>#REF!</v>
      </c>
      <c r="C315" s="238"/>
      <c r="D315" s="237" t="e">
        <f>ROUND(Request!O22/(D262+E262)*Worksheet!D262*Worksheet!D$247+Request!O22/(D262+E262)*Worksheet!E262*Worksheet!E$247,0)</f>
        <v>#REF!</v>
      </c>
      <c r="E315" s="238"/>
      <c r="F315" s="237" t="e">
        <f>ROUND(Request!P22/(F262+G262)*Worksheet!F262*Worksheet!F$247+Request!P22/(F262+G262)*Worksheet!G262*Worksheet!G$247,0)</f>
        <v>#REF!</v>
      </c>
      <c r="G315" s="238"/>
      <c r="H315" s="237" t="e">
        <f>ROUND(Request!Q22/(H262+I262)*Worksheet!H262*Worksheet!H$247+Request!Q22/(H262+I262)*Worksheet!I262*Worksheet!I$247,0)</f>
        <v>#REF!</v>
      </c>
      <c r="I315" s="238"/>
      <c r="J315" s="237" t="str">
        <f>IF(J289=0,"",ROUND(Request!R22/(J262+K262)*Worksheet!J262*Worksheet!J$247+Request!R22/(J262+K262)*Worksheet!K262*Worksheet!K$247,0))</f>
        <v/>
      </c>
      <c r="K315" s="238"/>
    </row>
    <row r="316" spans="1:12" x14ac:dyDescent="0.2">
      <c r="A316" s="81">
        <f t="shared" si="77"/>
        <v>0</v>
      </c>
      <c r="B316" s="237" t="e">
        <f>IF((B263+C263)&lt;&gt;0,ROUND(Request!N23/Worksheet!H192*Worksheet!B263*Worksheet!$B$247+Request!N23/Worksheet!H192*Worksheet!C263*Worksheet!$C$247,0),0)</f>
        <v>#REF!</v>
      </c>
      <c r="C316" s="238"/>
      <c r="D316" s="237" t="e">
        <f>ROUND(Request!O23/(D263+E263)*Worksheet!D263*Worksheet!D$247+Request!O23/(D263+E263)*Worksheet!E263*Worksheet!E$247,0)</f>
        <v>#REF!</v>
      </c>
      <c r="E316" s="238"/>
      <c r="F316" s="237" t="e">
        <f>ROUND(Request!P23/(F263+G263)*Worksheet!F263*Worksheet!F$247+Request!P23/(F263+G263)*Worksheet!G263*Worksheet!G$247,0)</f>
        <v>#REF!</v>
      </c>
      <c r="G316" s="238"/>
      <c r="H316" s="237" t="e">
        <f>ROUND(Request!Q23/(H263+I263)*Worksheet!H263*Worksheet!H$247+Request!Q23/(H263+I263)*Worksheet!I263*Worksheet!I$247,0)</f>
        <v>#REF!</v>
      </c>
      <c r="I316" s="238"/>
      <c r="J316" s="237" t="str">
        <f>IF(J290=0,"",ROUND(Request!R23/(J263+K263)*Worksheet!J263*Worksheet!J$247+Request!R23/(J263+K263)*Worksheet!K263*Worksheet!K$247,0))</f>
        <v/>
      </c>
      <c r="K316" s="238"/>
    </row>
    <row r="317" spans="1:12" x14ac:dyDescent="0.2">
      <c r="A317" s="81">
        <f t="shared" si="77"/>
        <v>0</v>
      </c>
      <c r="B317" s="237" t="e">
        <f>IF((B264+C264)&lt;&gt;0,ROUND(Request!N24/Worksheet!H193*Worksheet!B264*Worksheet!$B$247+Request!N24/Worksheet!H193*Worksheet!C264*Worksheet!$C$247,0),0)</f>
        <v>#REF!</v>
      </c>
      <c r="C317" s="238"/>
      <c r="D317" s="237" t="e">
        <f>ROUND(Request!O24/(D264+E264)*Worksheet!D264*Worksheet!D$247+Request!O24/(D264+E264)*Worksheet!E264*Worksheet!E$247,0)</f>
        <v>#REF!</v>
      </c>
      <c r="E317" s="238"/>
      <c r="F317" s="237" t="e">
        <f>ROUND(Request!P24/(F264+G264)*Worksheet!F264*Worksheet!F$247+Request!P24/(F264+G264)*Worksheet!G264*Worksheet!G$247,0)</f>
        <v>#REF!</v>
      </c>
      <c r="G317" s="238"/>
      <c r="H317" s="237" t="e">
        <f>ROUND(Request!Q24/(H264+I264)*Worksheet!H264*Worksheet!H$247+Request!Q24/(H264+I264)*Worksheet!I264*Worksheet!I$247,0)</f>
        <v>#REF!</v>
      </c>
      <c r="I317" s="238"/>
      <c r="J317" s="237" t="str">
        <f>IF(J291=0,"",ROUND(Request!R24/(J264+K264)*Worksheet!J264*Worksheet!J$247+Request!R24/(J264+K264)*Worksheet!K264*Worksheet!K$247,0))</f>
        <v/>
      </c>
      <c r="K317" s="238"/>
    </row>
    <row r="318" spans="1:12" x14ac:dyDescent="0.2">
      <c r="A318" s="81">
        <f t="shared" si="77"/>
        <v>0</v>
      </c>
      <c r="B318" s="237" t="e">
        <f>IF((B265+C265)&lt;&gt;0,ROUND(Request!N25/Worksheet!H194*Worksheet!B265*Worksheet!$B$247+Request!N25/Worksheet!H194*Worksheet!C265*Worksheet!$C$247,0),0)</f>
        <v>#REF!</v>
      </c>
      <c r="C318" s="238"/>
      <c r="D318" s="237" t="e">
        <f>ROUND(Request!O25/(D265+E265)*Worksheet!D265*Worksheet!D$247+Request!O25/(D265+E265)*Worksheet!E265*Worksheet!E$247,0)</f>
        <v>#REF!</v>
      </c>
      <c r="E318" s="238"/>
      <c r="F318" s="237" t="e">
        <f>ROUND(Request!P25/(F265+G265)*Worksheet!F265*Worksheet!F$247+Request!P25/(F265+G265)*Worksheet!G265*Worksheet!G$247,0)</f>
        <v>#REF!</v>
      </c>
      <c r="G318" s="238"/>
      <c r="H318" s="237" t="e">
        <f>ROUND(Request!Q25/(H265+I265)*Worksheet!H265*Worksheet!H$247+Request!Q25/(H265+I265)*Worksheet!I265*Worksheet!I$247,0)</f>
        <v>#REF!</v>
      </c>
      <c r="I318" s="238"/>
      <c r="J318" s="237" t="str">
        <f>IF(J292=0,"",ROUND(Request!R25/(J265+K265)*Worksheet!J265*Worksheet!J$247+Request!R25/(J265+K265)*Worksheet!K265*Worksheet!K$247,0))</f>
        <v/>
      </c>
      <c r="K318" s="238"/>
    </row>
    <row r="319" spans="1:12" x14ac:dyDescent="0.2">
      <c r="A319" s="81">
        <f t="shared" si="77"/>
        <v>0</v>
      </c>
      <c r="B319" s="237" t="e">
        <f>IF((B266+C266)&lt;&gt;0,ROUND(Request!N26/Worksheet!H195*Worksheet!B266*Worksheet!$B$247+Request!N26/Worksheet!H195*Worksheet!C266*Worksheet!$C$247,0),0)</f>
        <v>#REF!</v>
      </c>
      <c r="C319" s="238"/>
      <c r="D319" s="237" t="e">
        <f>ROUND(Request!O26/(D266+E266)*Worksheet!D266*Worksheet!D$247+Request!O26/(D266+E266)*Worksheet!E266*Worksheet!E$247,0)</f>
        <v>#REF!</v>
      </c>
      <c r="E319" s="238"/>
      <c r="F319" s="237" t="e">
        <f>ROUND(Request!P26/(F266+G266)*Worksheet!F266*Worksheet!F$247+Request!P26/(F266+G266)*Worksheet!G266*Worksheet!G$247,0)</f>
        <v>#REF!</v>
      </c>
      <c r="G319" s="238"/>
      <c r="H319" s="237" t="e">
        <f>ROUND(Request!Q26/(H266+I266)*Worksheet!H266*Worksheet!H$247+Request!Q26/(H266+I266)*Worksheet!I266*Worksheet!I$247,0)</f>
        <v>#REF!</v>
      </c>
      <c r="I319" s="238"/>
      <c r="J319" s="237" t="str">
        <f>IF(J293=0,"",ROUND(Request!R26/(J266+K266)*Worksheet!J266*Worksheet!J$247+Request!R26/(J266+K266)*Worksheet!K266*Worksheet!K$247,0))</f>
        <v/>
      </c>
      <c r="K319" s="238"/>
    </row>
    <row r="320" spans="1:12" x14ac:dyDescent="0.2">
      <c r="A320" s="81">
        <f t="shared" si="77"/>
        <v>0</v>
      </c>
      <c r="B320" s="237" t="e">
        <f>IF((B267+C267)&lt;&gt;0,ROUND(Request!N27/Worksheet!H196*Worksheet!B267*Worksheet!$B$247+Request!N27/Worksheet!H196*Worksheet!C267*Worksheet!$C$247,0),0)</f>
        <v>#REF!</v>
      </c>
      <c r="C320" s="238"/>
      <c r="D320" s="237" t="e">
        <f>ROUND(Request!O27/(D267+E267)*Worksheet!D267*Worksheet!D$247+Request!O27/(D267+E267)*Worksheet!E267*Worksheet!E$247,0)</f>
        <v>#REF!</v>
      </c>
      <c r="E320" s="238"/>
      <c r="F320" s="237" t="e">
        <f>ROUND(Request!P27/(F267+G267)*Worksheet!F267*Worksheet!F$247+Request!P27/(F267+G267)*Worksheet!G267*Worksheet!G$247,0)</f>
        <v>#REF!</v>
      </c>
      <c r="G320" s="238"/>
      <c r="H320" s="237" t="e">
        <f>ROUND(Request!Q27/(H267+I267)*Worksheet!H267*Worksheet!H$247+Request!Q27/(H267+I267)*Worksheet!I267*Worksheet!I$247,0)</f>
        <v>#REF!</v>
      </c>
      <c r="I320" s="238"/>
      <c r="J320" s="237" t="str">
        <f>IF(J294=0,"",ROUND(Request!R27/(J267+K267)*Worksheet!J267*Worksheet!J$247+Request!R27/(J267+K267)*Worksheet!K267*Worksheet!K$247,0))</f>
        <v/>
      </c>
      <c r="K320" s="238"/>
    </row>
    <row r="321" spans="1:11" x14ac:dyDescent="0.2">
      <c r="A321" s="81">
        <f t="shared" si="77"/>
        <v>0</v>
      </c>
      <c r="B321" s="237" t="e">
        <f>IF((B268+C268)&lt;&gt;0,ROUND(Request!N28/Worksheet!H197*Worksheet!B268*Worksheet!$B$247+Request!N28/Worksheet!H197*Worksheet!C268*Worksheet!$C$247,0),0)</f>
        <v>#REF!</v>
      </c>
      <c r="C321" s="238"/>
      <c r="D321" s="237" t="e">
        <f>ROUND(Request!O28/(D268+E268)*Worksheet!D268*Worksheet!D$247+Request!O28/(D268+E268)*Worksheet!E268*Worksheet!E$247,0)</f>
        <v>#REF!</v>
      </c>
      <c r="E321" s="238"/>
      <c r="F321" s="237" t="e">
        <f>ROUND(Request!P28/(F268+G268)*Worksheet!F268*Worksheet!F$247+Request!P28/(F268+G268)*Worksheet!G268*Worksheet!G$247,0)</f>
        <v>#REF!</v>
      </c>
      <c r="G321" s="238"/>
      <c r="H321" s="237" t="e">
        <f>ROUND(Request!Q28/(H268+I268)*Worksheet!H268*Worksheet!H$247+Request!Q28/(H268+I268)*Worksheet!I268*Worksheet!I$247,0)</f>
        <v>#REF!</v>
      </c>
      <c r="I321" s="238"/>
      <c r="J321" s="237" t="str">
        <f>IF(J295=0,"",ROUND(Request!R28/(J268+K268)*Worksheet!J268*Worksheet!J$247+Request!R28/(J268+K268)*Worksheet!K268*Worksheet!K$247,0))</f>
        <v/>
      </c>
      <c r="K321" s="238"/>
    </row>
    <row r="322" spans="1:11" x14ac:dyDescent="0.2">
      <c r="A322" s="81">
        <f t="shared" si="77"/>
        <v>0</v>
      </c>
      <c r="B322" s="237" t="e">
        <f>IF((B269+C269)&lt;&gt;0,ROUND(Request!N29/Worksheet!H198*Worksheet!B269*Worksheet!$B$247+Request!N29/Worksheet!H198*Worksheet!C269*Worksheet!$C$247,0),0)</f>
        <v>#REF!</v>
      </c>
      <c r="C322" s="238"/>
      <c r="D322" s="237" t="e">
        <f>ROUND(Request!O29/(D269+E269)*Worksheet!D269*Worksheet!D$247+Request!O29/(D269+E269)*Worksheet!E269*Worksheet!E$247,0)</f>
        <v>#REF!</v>
      </c>
      <c r="E322" s="238"/>
      <c r="F322" s="237" t="e">
        <f>ROUND(Request!P29/(F269+G269)*Worksheet!F269*Worksheet!F$247+Request!P29/(F269+G269)*Worksheet!G269*Worksheet!G$247,0)</f>
        <v>#REF!</v>
      </c>
      <c r="G322" s="238"/>
      <c r="H322" s="237" t="e">
        <f>ROUND(Request!Q29/(H269+I269)*Worksheet!H269*Worksheet!H$247+Request!Q29/(H269+I269)*Worksheet!I269*Worksheet!I$247,0)</f>
        <v>#REF!</v>
      </c>
      <c r="I322" s="238"/>
      <c r="J322" s="237" t="str">
        <f>IF(J296=0,"",ROUND(Request!R29/(J269+K269)*Worksheet!J269*Worksheet!J$247+Request!R29/(J269+K269)*Worksheet!K269*Worksheet!K$247,0))</f>
        <v/>
      </c>
      <c r="K322" s="238"/>
    </row>
    <row r="323" spans="1:11" x14ac:dyDescent="0.2">
      <c r="A323" s="81">
        <f t="shared" si="77"/>
        <v>0</v>
      </c>
      <c r="B323" s="237" t="e">
        <f>IF((B270+C270)&lt;&gt;0,ROUND(Request!N30/Worksheet!H199*Worksheet!B270*Worksheet!$B$247+Request!N30/Worksheet!H199*Worksheet!C270*Worksheet!$C$247,0),0)</f>
        <v>#REF!</v>
      </c>
      <c r="C323" s="238"/>
      <c r="D323" s="237" t="e">
        <f>ROUND(Request!O30/(D270+E270)*Worksheet!D270*Worksheet!D$247+Request!O30/(D270+E270)*Worksheet!E270*Worksheet!E$247,0)</f>
        <v>#REF!</v>
      </c>
      <c r="E323" s="238"/>
      <c r="F323" s="237" t="e">
        <f>ROUND(Request!P30/(F270+G270)*Worksheet!F270*Worksheet!F$247+Request!P30/(F270+G270)*Worksheet!G270*Worksheet!G$247,0)</f>
        <v>#REF!</v>
      </c>
      <c r="G323" s="238"/>
      <c r="H323" s="237" t="e">
        <f>ROUND(Request!Q30/(H270+I270)*Worksheet!H270*Worksheet!H$247+Request!Q30/(H270+I270)*Worksheet!I270*Worksheet!I$247,0)</f>
        <v>#REF!</v>
      </c>
      <c r="I323" s="238"/>
      <c r="J323" s="237" t="str">
        <f>IF(J297=0,"",ROUND(Request!R30/(J270+K270)*Worksheet!J270*Worksheet!J$247+Request!R30/(J270+K270)*Worksheet!K270*Worksheet!K$247,0))</f>
        <v/>
      </c>
      <c r="K323" s="238"/>
    </row>
    <row r="324" spans="1:11" x14ac:dyDescent="0.2">
      <c r="A324" s="81">
        <f t="shared" si="77"/>
        <v>0</v>
      </c>
      <c r="B324" s="237" t="e">
        <f>IF((B271+C271)&lt;&gt;0,ROUND(Request!N31/Worksheet!H200*Worksheet!B271*Worksheet!$B$247+Request!N31/Worksheet!H200*Worksheet!C271*Worksheet!$C$247,0),0)</f>
        <v>#REF!</v>
      </c>
      <c r="C324" s="238"/>
      <c r="D324" s="237" t="e">
        <f>ROUND(Request!O31/(D271+E271)*Worksheet!D271*Worksheet!D$247+Request!O31/(D271+E271)*Worksheet!E271*Worksheet!E$247,0)</f>
        <v>#REF!</v>
      </c>
      <c r="E324" s="238"/>
      <c r="F324" s="237" t="e">
        <f>ROUND(Request!P31/(F271+G271)*Worksheet!F271*Worksheet!F$247+Request!P31/(F271+G271)*Worksheet!G271*Worksheet!G$247,0)</f>
        <v>#REF!</v>
      </c>
      <c r="G324" s="238"/>
      <c r="H324" s="237" t="e">
        <f>ROUND(Request!Q31/(H271+I271)*Worksheet!H271*Worksheet!H$247+Request!Q31/(H271+I271)*Worksheet!I271*Worksheet!I$247,0)</f>
        <v>#REF!</v>
      </c>
      <c r="I324" s="238"/>
      <c r="J324" s="237" t="str">
        <f>IF(J298=0,"",ROUND(Request!R31/(J271+K271)*Worksheet!J271*Worksheet!J$247+Request!R31/(J271+K271)*Worksheet!K271*Worksheet!K$247,0))</f>
        <v/>
      </c>
      <c r="K324" s="238"/>
    </row>
    <row r="327" spans="1:11" x14ac:dyDescent="0.2">
      <c r="A327" s="79" t="s">
        <v>168</v>
      </c>
      <c r="B327" s="232" t="s">
        <v>129</v>
      </c>
      <c r="C327" s="232"/>
      <c r="D327" s="232" t="s">
        <v>130</v>
      </c>
      <c r="E327" s="232"/>
      <c r="F327" s="232" t="s">
        <v>131</v>
      </c>
      <c r="G327" s="232"/>
      <c r="H327" s="232" t="s">
        <v>134</v>
      </c>
      <c r="I327" s="232"/>
      <c r="J327" s="232" t="s">
        <v>132</v>
      </c>
      <c r="K327" s="232"/>
    </row>
    <row r="328" spans="1:11" x14ac:dyDescent="0.2">
      <c r="A328" s="81" t="e">
        <f>#REF!</f>
        <v>#REF!</v>
      </c>
      <c r="B328" s="237">
        <f>IF(Worksheet!$C$5=0,"",IF(AND(Request!$S$4="Multi",Request!$R$4="FY"),ROUND(((1+Request!$M8)^Worksheet!$B$20*Worksheet!$C$9+(1+Request!$M8)^(Worksheet!$B$20+1)*Worksheet!$C$10)/(Worksheet!$C$5)*Request!$E8,0),(IF(AND(Request!$S$4="Multi",Request!$R$4="PY"),ROUND(Request!$E8/(Worksheet!$C$5)*Worksheet!$C$5,0),(IF(AND(Request!$S$4&lt;&gt;"Multi",Request!$R$4="FY"),ROUND(((1+Request!$S$4)^Worksheet!$B$20*Worksheet!$C$9+(1+Request!$S$4)^(Worksheet!$B$20+1)*Worksheet!$C$10)/Worksheet!$C$5*Request!$E8,0),ROUND(Request!$E8/Worksheet!$C$5*Worksheet!$C$5,0)))))))</f>
        <v>190000</v>
      </c>
      <c r="C328" s="238"/>
      <c r="D328" s="237" t="str">
        <f>IF(Worksheet!$D$5=0,"",IF($C$4=$D$4,(IF(AND(Request!$S$4="Multi",Request!$R$4="FY"),ROUND(((1+Request!$M8)^(Worksheet!$B$20)*Worksheet!$D$9+(1+Request!$M8)^(Worksheet!$B$20+1)*Worksheet!$D$10)/Worksheet!$D$5*Request!$E8,0),(IF(AND(Request!$S$4="Multi",Request!$R$4="PY"),ROUND(Request!$E8*(1+Request!$M8)/Worksheet!$D$5*Worksheet!$D$5,0),(IF(AND(Request!$S$4&lt;&gt;"Multi",Request!$R$4="FY"),ROUND(((1+Request!$S$4)^(Worksheet!$B$20)*Worksheet!$D$9+(1+Request!$S$4)^(Worksheet!$B$20+1)*Worksheet!$D$10)/Worksheet!$D$5*Request!$E8,0),ROUND(Request!$E8*(1+Request!$S$4)/Worksheet!$D$5*Worksheet!$D$5,0))))))),(IF(AND(Request!$S$4="Multi",Request!$R$4="FY"),ROUND(((1+Request!$M8)^(Worksheet!$B$20+1)*Worksheet!$D$9+(1+Request!$M8)^(Worksheet!$B$20+2)*Worksheet!$D$10)/Worksheet!$D$5*Request!$E8,0),(IF(AND(Request!$S$4="Multi",Request!$R$4="PY"),ROUND(Request!$E8*(1+Request!$M8)/Worksheet!$D$5*Worksheet!$D$5,0),(IF(AND(Request!$S$4&lt;&gt;"Multi",Request!$R$4="FY"),ROUND(((1+Request!$S$4)^(Worksheet!$B$20+1)*Worksheet!$D$9+(1+Request!$S$4)^(Worksheet!$B$20+2)*Worksheet!$D$10)/Worksheet!$D$5*Request!$E8,0),ROUND(Request!$E8*(1+Request!$S$4)/Worksheet!$D$5*Worksheet!$D$5,0)))))))))</f>
        <v/>
      </c>
      <c r="E328" s="238"/>
      <c r="F328" s="237" t="str">
        <f>IF(Worksheet!$E$5=0,"",IF($C$4=$D$4,(IF(AND(Request!$S$4="Multi",Request!$R$4="FY"),ROUND(((1+Request!$M8)^(Worksheet!$B$20+1)*Worksheet!$E$9+(1+Request!$M8)^(Worksheet!$B$20+3)*Worksheet!$E$10)/Worksheet!$E$5*Request!$E8,0),(IF(AND(Request!$S$4="Multi",Request!$R$4="PY"),ROUND(Request!$E8*((1+Request!$M8)^2)/Worksheet!$E$5*Worksheet!$E$5,0),(IF(AND(Request!$S$4&lt;&gt;"Multi",Request!$R$4="FY"),ROUND(((1+Request!$S$4)^(Worksheet!$B$20+1)*Worksheet!$E$9+(1+Request!$S$4)^(Worksheet!$B$20+2)*Worksheet!$E$10)/Worksheet!$E$5*Request!$E8,0),ROUND(Request!$E8*((1+Request!$S$4)^2)/Worksheet!$E$5*Worksheet!$E$5,0))))))),(IF(AND(Request!$S$4="Multi",Request!$R$4="FY"),ROUND(((1+Request!$M8)^(Worksheet!$B$20+2)*Worksheet!$E$9+(1+Request!$M8)^(Worksheet!$B$20+3)*Worksheet!$E$10)/Worksheet!$E$5*Request!$E8,0),(IF(AND(Request!$S$4="Multi",Request!$R$4="PY"),ROUND(Request!$E8*((1+Request!$M8)^2)/Worksheet!$E$5*Worksheet!$E$5,0),(IF(AND(Request!$S$4&lt;&gt;"Multi",Request!$R$4="FY"),ROUND(((1+Request!$S$4)^(Worksheet!$B$20+2)*Worksheet!$E$9+(1+Request!$S$4)^(Worksheet!$B$20+3)*Worksheet!$E$10)/Worksheet!$E$5*Request!$E8,0),ROUND(Request!$E8*((1+Request!$S$4)^2)/Worksheet!$E$5*Worksheet!$E$5,0)))))))))</f>
        <v/>
      </c>
      <c r="G328" s="238"/>
      <c r="H328" s="237" t="str">
        <f>IF(Worksheet!$F$5=0,"",IF($C$4=$D$4,(IF(AND(Request!$S$4="Multi",Request!$R$4="FY"),ROUND(((1+Request!$M8)^(Worksheet!$B$20+2)*Worksheet!$F$9+(1+Request!$M8)^(Worksheet!$B$20+3)*Worksheet!$F$10)/Worksheet!$F$5*Request!$E8,0),(IF(AND(Request!$S$4="Multi",Request!$R$4="PY"),ROUND(Request!$E8*((1+Request!$M8)^3)/Worksheet!$F$5*Worksheet!$F$5,0),(IF(AND(Request!$S$4&lt;&gt;"Multi",Request!$R$4="FY"),ROUND(((1+Request!$S$4)^(Worksheet!$B$20+2)*Worksheet!$F$9+(1+Request!$S$4)^(Worksheet!$B$20+3)*Worksheet!$F$10)/Worksheet!$F$5*Request!$E8,0),ROUND(Request!$E8*((1+Request!$S$4)^3)/Worksheet!$F$5*Worksheet!$F$5,0))))))),(IF(AND(Request!$S$4="Multi",Request!$R$4="FY"),ROUND(((1+Request!$M8)^(Worksheet!$B$20+3)*Worksheet!$F$9+(1+Request!$M8)^(Worksheet!$B$20+4)*Worksheet!$F$10)/Worksheet!$F$5*Request!$E8,0),(IF(AND(Request!$S$4="Multi",Request!$R$4="PY"),ROUND(Request!$E8*((1+Request!$M8)^3)/Worksheet!$F$5*Worksheet!$F$5,0),(IF(AND(Request!$S$4&lt;&gt;"Multi",Request!$R$4="FY"),ROUND(((1+Request!$S$4)^(Worksheet!$B$20+3)*Worksheet!$F$9+(1+Request!$S$4)^(Worksheet!$B$20+4)*Worksheet!$F$10)/Worksheet!$F$5*Request!$E8,0),ROUND(Request!$E8*((1+Request!$S$4)^3)/Worksheet!$F$5*Worksheet!$F$5,0)))))))))</f>
        <v/>
      </c>
      <c r="I328" s="238"/>
      <c r="J328" s="237" t="str">
        <f>IF(Worksheet!$G$5=0,"",IF($C$4=$D$4,(IF(AND(Request!$S$4="Multi",Request!$R$4="FY"),ROUND(((1+Request!$M8)^(Worksheet!$B$20+3)*Worksheet!$G$9+(1+Request!$M8)^(Worksheet!$B$20+4)*Worksheet!$G$10)/Worksheet!$G$5*Request!$E8,0),(IF(AND(Request!$S$4="Multi",Request!$R$4="PY"),ROUND(Request!$E8*((1+Request!$M8)^4)/Worksheet!$G$5*Worksheet!$G$5,0),(IF(AND(Request!$S$4&lt;&gt;"Multi",Request!$R$4="FY"),ROUND(((1+Request!$S$4)^(Worksheet!$B$20+3)*Worksheet!$G$9+(1+Request!$S$4)^(Worksheet!$B$20+4)*Worksheet!$G$10)/Worksheet!$G$5*Request!$E8,0),ROUND(Request!$E8*((1+Request!$S$4)^4)/Worksheet!$G$5*Worksheet!$G$5,0))))))),(IF(AND(Request!$S$4="Multi",Request!$R$4="FY"),ROUND(((1+Request!$M8)^(Worksheet!$B$20+4)*Worksheet!$G$9+(1+Request!$M8)^(Worksheet!$B$20+5)*Worksheet!$G$10)/Worksheet!$G$5*Request!$E8,0),(IF(AND(Request!$S$4="Multi",Request!$R$4="PY"),ROUND(Request!$E8*((1+Request!$M8)^4)/Worksheet!$G$5*Worksheet!$G$5,0),(IF(AND(Request!$S$4&lt;&gt;"Multi",Request!$R$4="FY"),ROUND(((1+Request!$S$4)^(Worksheet!$B$20+4)*Worksheet!$G$9+(1+Request!$S$4)^(Worksheet!$B$20+5)*Worksheet!$G$10)/Worksheet!$G$5*Request!$E8,0),ROUND(Request!$E8*((1+Request!$S$4)^4)/Worksheet!$G$5*Worksheet!$G$5,0)))))))))</f>
        <v/>
      </c>
      <c r="K328" s="238"/>
    </row>
    <row r="329" spans="1:11" x14ac:dyDescent="0.2">
      <c r="A329" s="81" t="e">
        <f>#REF!</f>
        <v>#REF!</v>
      </c>
      <c r="B329" s="237">
        <f>IF(Worksheet!$C$5=0,"",IF(AND(Request!$S$4="Multi",Request!$R$4="FY"),ROUND(((1+Request!$M9)^Worksheet!$B$20*Worksheet!$C$9+(1+Request!$M9)^(Worksheet!$B$20+1)*Worksheet!$C$10)/(Worksheet!$C$5)*Request!$E9,0),(IF(AND(Request!$S$4="Multi",Request!$R$4="PY"),ROUND(Request!$E9/(Worksheet!$C$5)*Worksheet!$C$5,0),(IF(AND(Request!$S$4&lt;&gt;"Multi",Request!$R$4="FY"),ROUND(((1+Request!$S$4)^Worksheet!$B$20*Worksheet!$C$9+(1+Request!$S$4)^(Worksheet!$B$20+1)*Worksheet!$C$10)/Worksheet!$C$5*Request!$E9,0),ROUND(Request!$E9/Worksheet!$C$5*Worksheet!$C$5,0)))))))</f>
        <v>75000</v>
      </c>
      <c r="C329" s="238"/>
      <c r="D329" s="237" t="str">
        <f>IF(Worksheet!$D$5=0,"",IF($C$4=$D$4,(IF(AND(Request!$S$4="Multi",Request!$R$4="FY"),ROUND(((1+Request!$M9)^(Worksheet!$B$20)*Worksheet!$D$9+(1+Request!$M9)^(Worksheet!$B$20+1)*Worksheet!$D$10)/Worksheet!$D$5*Request!$E9,0),(IF(AND(Request!$S$4="Multi",Request!$R$4="PY"),ROUND(Request!$E9*(1+Request!$M9)/Worksheet!$D$5*Worksheet!$D$5,0),(IF(AND(Request!$S$4&lt;&gt;"Multi",Request!$R$4="FY"),ROUND(((1+Request!$S$4)^(Worksheet!$B$20)*Worksheet!$D$9+(1+Request!$S$4)^(Worksheet!$B$20+1)*Worksheet!$D$10)/Worksheet!$D$5*Request!$E9,0),ROUND(Request!$E9*(1+Request!$S$4)/Worksheet!$D$5*Worksheet!$D$5,0))))))),(IF(AND(Request!$S$4="Multi",Request!$R$4="FY"),ROUND(((1+Request!$M9)^(Worksheet!$B$20+1)*Worksheet!$D$9+(1+Request!$M9)^(Worksheet!$B$20+2)*Worksheet!$D$10)/Worksheet!$D$5*Request!$E9,0),(IF(AND(Request!$S$4="Multi",Request!$R$4="PY"),ROUND(Request!$E9*(1+Request!$M9)/Worksheet!$D$5*Worksheet!$D$5,0),(IF(AND(Request!$S$4&lt;&gt;"Multi",Request!$R$4="FY"),ROUND(((1+Request!$S$4)^(Worksheet!$B$20+1)*Worksheet!$D$9+(1+Request!$S$4)^(Worksheet!$B$20+2)*Worksheet!$D$10)/Worksheet!$D$5*Request!$E9,0),ROUND(Request!$E9*(1+Request!$S$4)/Worksheet!$D$5*Worksheet!$D$5,0)))))))))</f>
        <v/>
      </c>
      <c r="E329" s="238"/>
      <c r="F329" s="237" t="str">
        <f>IF(Worksheet!$E$5=0,"",IF($C$4=$D$4,(IF(AND(Request!$S$4="Multi",Request!$R$4="FY"),ROUND(((1+Request!$M9)^(Worksheet!$B$20+1)*Worksheet!$E$9+(1+Request!$M9)^(Worksheet!$B$20+3)*Worksheet!$E$10)/Worksheet!$E$5*Request!$E9,0),(IF(AND(Request!$S$4="Multi",Request!$R$4="PY"),ROUND(Request!$E9*((1+Request!$M9)^2)/Worksheet!$E$5*Worksheet!$E$5,0),(IF(AND(Request!$S$4&lt;&gt;"Multi",Request!$R$4="FY"),ROUND(((1+Request!$S$4)^(Worksheet!$B$20+1)*Worksheet!$E$9+(1+Request!$S$4)^(Worksheet!$B$20+2)*Worksheet!$E$10)/Worksheet!$E$5*Request!$E9,0),ROUND(Request!$E9*((1+Request!$S$4)^2)/Worksheet!$E$5*Worksheet!$E$5,0))))))),(IF(AND(Request!$S$4="Multi",Request!$R$4="FY"),ROUND(((1+Request!$M9)^(Worksheet!$B$20+2)*Worksheet!$E$9+(1+Request!$M9)^(Worksheet!$B$20+3)*Worksheet!$E$10)/Worksheet!$E$5*Request!$E9,0),(IF(AND(Request!$S$4="Multi",Request!$R$4="PY"),ROUND(Request!$E9*((1+Request!$M9)^2)/Worksheet!$E$5*Worksheet!$E$5,0),(IF(AND(Request!$S$4&lt;&gt;"Multi",Request!$R$4="FY"),ROUND(((1+Request!$S$4)^(Worksheet!$B$20+2)*Worksheet!$E$9+(1+Request!$S$4)^(Worksheet!$B$20+3)*Worksheet!$E$10)/Worksheet!$E$5*Request!$E9,0),ROUND(Request!$E9*((1+Request!$S$4)^2)/Worksheet!$E$5*Worksheet!$E$5,0)))))))))</f>
        <v/>
      </c>
      <c r="G329" s="238"/>
      <c r="H329" s="237" t="str">
        <f>IF(Worksheet!$F$5=0,"",IF($C$4=$D$4,(IF(AND(Request!$S$4="Multi",Request!$R$4="FY"),ROUND(((1+Request!$M9)^(Worksheet!$B$20+2)*Worksheet!$F$9+(1+Request!$M9)^(Worksheet!$B$20+3)*Worksheet!$F$10)/Worksheet!$F$5*Request!$E9,0),(IF(AND(Request!$S$4="Multi",Request!$R$4="PY"),ROUND(Request!$E9*((1+Request!$M9)^3)/Worksheet!$F$5*Worksheet!$F$5,0),(IF(AND(Request!$S$4&lt;&gt;"Multi",Request!$R$4="FY"),ROUND(((1+Request!$S$4)^(Worksheet!$B$20+2)*Worksheet!$F$9+(1+Request!$S$4)^(Worksheet!$B$20+3)*Worksheet!$F$10)/Worksheet!$F$5*Request!$E9,0),ROUND(Request!$E9*((1+Request!$S$4)^3)/Worksheet!$F$5*Worksheet!$F$5,0))))))),(IF(AND(Request!$S$4="Multi",Request!$R$4="FY"),ROUND(((1+Request!$M9)^(Worksheet!$B$20+3)*Worksheet!$F$9+(1+Request!$M9)^(Worksheet!$B$20+4)*Worksheet!$F$10)/Worksheet!$F$5*Request!$E9,0),(IF(AND(Request!$S$4="Multi",Request!$R$4="PY"),ROUND(Request!$E9*((1+Request!$M9)^3)/Worksheet!$F$5*Worksheet!$F$5,0),(IF(AND(Request!$S$4&lt;&gt;"Multi",Request!$R$4="FY"),ROUND(((1+Request!$S$4)^(Worksheet!$B$20+3)*Worksheet!$F$9+(1+Request!$S$4)^(Worksheet!$B$20+4)*Worksheet!$F$10)/Worksheet!$F$5*Request!$E9,0),ROUND(Request!$E9*((1+Request!$S$4)^3)/Worksheet!$F$5*Worksheet!$F$5,0)))))))))</f>
        <v/>
      </c>
      <c r="I329" s="238"/>
      <c r="J329" s="237" t="str">
        <f>IF(Worksheet!$G$5=0,"",IF($C$4=$D$4,(IF(AND(Request!$S$4="Multi",Request!$R$4="FY"),ROUND(((1+Request!$M9)^(Worksheet!$B$20+3)*Worksheet!$G$9+(1+Request!$M9)^(Worksheet!$B$20+4)*Worksheet!$G$10)/Worksheet!$G$5*Request!$E9,0),(IF(AND(Request!$S$4="Multi",Request!$R$4="PY"),ROUND(Request!$E9*((1+Request!$M9)^4)/Worksheet!$G$5*Worksheet!$G$5,0),(IF(AND(Request!$S$4&lt;&gt;"Multi",Request!$R$4="FY"),ROUND(((1+Request!$S$4)^(Worksheet!$B$20+3)*Worksheet!$G$9+(1+Request!$S$4)^(Worksheet!$B$20+4)*Worksheet!$G$10)/Worksheet!$G$5*Request!$E9,0),ROUND(Request!$E9*((1+Request!$S$4)^4)/Worksheet!$G$5*Worksheet!$G$5,0))))))),(IF(AND(Request!$S$4="Multi",Request!$R$4="FY"),ROUND(((1+Request!$M9)^(Worksheet!$B$20+4)*Worksheet!$G$9+(1+Request!$M9)^(Worksheet!$B$20+5)*Worksheet!$G$10)/Worksheet!$G$5*Request!$E9,0),(IF(AND(Request!$S$4="Multi",Request!$R$4="PY"),ROUND(Request!$E9*((1+Request!$M9)^4)/Worksheet!$G$5*Worksheet!$G$5,0),(IF(AND(Request!$S$4&lt;&gt;"Multi",Request!$R$4="FY"),ROUND(((1+Request!$S$4)^(Worksheet!$B$20+4)*Worksheet!$G$9+(1+Request!$S$4)^(Worksheet!$B$20+5)*Worksheet!$G$10)/Worksheet!$G$5*Request!$E9,0),ROUND(Request!$E9*((1+Request!$S$4)^4)/Worksheet!$G$5*Worksheet!$G$5,0)))))))))</f>
        <v/>
      </c>
      <c r="K329" s="238"/>
    </row>
    <row r="330" spans="1:11" x14ac:dyDescent="0.2">
      <c r="A330" s="81" t="e">
        <f>#REF!</f>
        <v>#REF!</v>
      </c>
      <c r="B330" s="237">
        <f>IF(Worksheet!$C$5=0,"",IF(AND(Request!$S$4="Multi",Request!$R$4="FY"),ROUND(((1+Request!$M10)^Worksheet!$B$20*Worksheet!$C$9+(1+Request!$M10)^(Worksheet!$B$20+1)*Worksheet!$C$10)/(Worksheet!$C$5)*Request!$E10,0),(IF(AND(Request!$S$4="Multi",Request!$R$4="PY"),ROUND(Request!$E10/(Worksheet!$C$5)*Worksheet!$C$5,0),(IF(AND(Request!$S$4&lt;&gt;"Multi",Request!$R$4="FY"),ROUND(((1+Request!$S$4)^Worksheet!$B$20*Worksheet!$C$9+(1+Request!$S$4)^(Worksheet!$B$20+1)*Worksheet!$C$10)/Worksheet!$C$5*Request!$E10,0),ROUND(Request!$E10/Worksheet!$C$5*Worksheet!$C$5,0)))))))</f>
        <v>50000</v>
      </c>
      <c r="C330" s="238"/>
      <c r="D330" s="237" t="str">
        <f>IF(Worksheet!$D$5=0,"",IF($C$4=$D$4,(IF(AND(Request!$S$4="Multi",Request!$R$4="FY"),ROUND(((1+Request!$M10)^(Worksheet!$B$20)*Worksheet!$D$9+(1+Request!$M10)^(Worksheet!$B$20+1)*Worksheet!$D$10)/Worksheet!$D$5*Request!$E10,0),(IF(AND(Request!$S$4="Multi",Request!$R$4="PY"),ROUND(Request!$E10*(1+Request!$M10)/Worksheet!$D$5*Worksheet!$D$5,0),(IF(AND(Request!$S$4&lt;&gt;"Multi",Request!$R$4="FY"),ROUND(((1+Request!$S$4)^(Worksheet!$B$20)*Worksheet!$D$9+(1+Request!$S$4)^(Worksheet!$B$20+1)*Worksheet!$D$10)/Worksheet!$D$5*Request!$E10,0),ROUND(Request!$E10*(1+Request!$S$4)/Worksheet!$D$5*Worksheet!$D$5,0))))))),(IF(AND(Request!$S$4="Multi",Request!$R$4="FY"),ROUND(((1+Request!$M10)^(Worksheet!$B$20+1)*Worksheet!$D$9+(1+Request!$M10)^(Worksheet!$B$20+2)*Worksheet!$D$10)/Worksheet!$D$5*Request!$E10,0),(IF(AND(Request!$S$4="Multi",Request!$R$4="PY"),ROUND(Request!$E10*(1+Request!$M10)/Worksheet!$D$5*Worksheet!$D$5,0),(IF(AND(Request!$S$4&lt;&gt;"Multi",Request!$R$4="FY"),ROUND(((1+Request!$S$4)^(Worksheet!$B$20+1)*Worksheet!$D$9+(1+Request!$S$4)^(Worksheet!$B$20+2)*Worksheet!$D$10)/Worksheet!$D$5*Request!$E10,0),ROUND(Request!$E10*(1+Request!$S$4)/Worksheet!$D$5*Worksheet!$D$5,0)))))))))</f>
        <v/>
      </c>
      <c r="E330" s="238"/>
      <c r="F330" s="237" t="str">
        <f>IF(Worksheet!$E$5=0,"",IF($C$4=$D$4,(IF(AND(Request!$S$4="Multi",Request!$R$4="FY"),ROUND(((1+Request!$M10)^(Worksheet!$B$20+1)*Worksheet!$E$9+(1+Request!$M10)^(Worksheet!$B$20+3)*Worksheet!$E$10)/Worksheet!$E$5*Request!$E10,0),(IF(AND(Request!$S$4="Multi",Request!$R$4="PY"),ROUND(Request!$E10*((1+Request!$M10)^2)/Worksheet!$E$5*Worksheet!$E$5,0),(IF(AND(Request!$S$4&lt;&gt;"Multi",Request!$R$4="FY"),ROUND(((1+Request!$S$4)^(Worksheet!$B$20+1)*Worksheet!$E$9+(1+Request!$S$4)^(Worksheet!$B$20+2)*Worksheet!$E$10)/Worksheet!$E$5*Request!$E10,0),ROUND(Request!$E10*((1+Request!$S$4)^2)/Worksheet!$E$5*Worksheet!$E$5,0))))))),(IF(AND(Request!$S$4="Multi",Request!$R$4="FY"),ROUND(((1+Request!$M10)^(Worksheet!$B$20+2)*Worksheet!$E$9+(1+Request!$M10)^(Worksheet!$B$20+3)*Worksheet!$E$10)/Worksheet!$E$5*Request!$E10,0),(IF(AND(Request!$S$4="Multi",Request!$R$4="PY"),ROUND(Request!$E10*((1+Request!$M10)^2)/Worksheet!$E$5*Worksheet!$E$5,0),(IF(AND(Request!$S$4&lt;&gt;"Multi",Request!$R$4="FY"),ROUND(((1+Request!$S$4)^(Worksheet!$B$20+2)*Worksheet!$E$9+(1+Request!$S$4)^(Worksheet!$B$20+3)*Worksheet!$E$10)/Worksheet!$E$5*Request!$E10,0),ROUND(Request!$E10*((1+Request!$S$4)^2)/Worksheet!$E$5*Worksheet!$E$5,0)))))))))</f>
        <v/>
      </c>
      <c r="G330" s="238"/>
      <c r="H330" s="237" t="str">
        <f>IF(Worksheet!$F$5=0,"",IF($C$4=$D$4,(IF(AND(Request!$S$4="Multi",Request!$R$4="FY"),ROUND(((1+Request!$M10)^(Worksheet!$B$20+2)*Worksheet!$F$9+(1+Request!$M10)^(Worksheet!$B$20+3)*Worksheet!$F$10)/Worksheet!$F$5*Request!$E10,0),(IF(AND(Request!$S$4="Multi",Request!$R$4="PY"),ROUND(Request!$E10*((1+Request!$M10)^3)/Worksheet!$F$5*Worksheet!$F$5,0),(IF(AND(Request!$S$4&lt;&gt;"Multi",Request!$R$4="FY"),ROUND(((1+Request!$S$4)^(Worksheet!$B$20+2)*Worksheet!$F$9+(1+Request!$S$4)^(Worksheet!$B$20+3)*Worksheet!$F$10)/Worksheet!$F$5*Request!$E10,0),ROUND(Request!$E10*((1+Request!$S$4)^3)/Worksheet!$F$5*Worksheet!$F$5,0))))))),(IF(AND(Request!$S$4="Multi",Request!$R$4="FY"),ROUND(((1+Request!$M10)^(Worksheet!$B$20+3)*Worksheet!$F$9+(1+Request!$M10)^(Worksheet!$B$20+4)*Worksheet!$F$10)/Worksheet!$F$5*Request!$E10,0),(IF(AND(Request!$S$4="Multi",Request!$R$4="PY"),ROUND(Request!$E10*((1+Request!$M10)^3)/Worksheet!$F$5*Worksheet!$F$5,0),(IF(AND(Request!$S$4&lt;&gt;"Multi",Request!$R$4="FY"),ROUND(((1+Request!$S$4)^(Worksheet!$B$20+3)*Worksheet!$F$9+(1+Request!$S$4)^(Worksheet!$B$20+4)*Worksheet!$F$10)/Worksheet!$F$5*Request!$E10,0),ROUND(Request!$E10*((1+Request!$S$4)^3)/Worksheet!$F$5*Worksheet!$F$5,0)))))))))</f>
        <v/>
      </c>
      <c r="I330" s="238"/>
      <c r="J330" s="237" t="str">
        <f>IF(Worksheet!$G$5=0,"",IF($C$4=$D$4,(IF(AND(Request!$S$4="Multi",Request!$R$4="FY"),ROUND(((1+Request!$M10)^(Worksheet!$B$20+3)*Worksheet!$G$9+(1+Request!$M10)^(Worksheet!$B$20+4)*Worksheet!$G$10)/Worksheet!$G$5*Request!$E10,0),(IF(AND(Request!$S$4="Multi",Request!$R$4="PY"),ROUND(Request!$E10*((1+Request!$M10)^4)/Worksheet!$G$5*Worksheet!$G$5,0),(IF(AND(Request!$S$4&lt;&gt;"Multi",Request!$R$4="FY"),ROUND(((1+Request!$S$4)^(Worksheet!$B$20+3)*Worksheet!$G$9+(1+Request!$S$4)^(Worksheet!$B$20+4)*Worksheet!$G$10)/Worksheet!$G$5*Request!$E10,0),ROUND(Request!$E10*((1+Request!$S$4)^4)/Worksheet!$G$5*Worksheet!$G$5,0))))))),(IF(AND(Request!$S$4="Multi",Request!$R$4="FY"),ROUND(((1+Request!$M10)^(Worksheet!$B$20+4)*Worksheet!$G$9+(1+Request!$M10)^(Worksheet!$B$20+5)*Worksheet!$G$10)/Worksheet!$G$5*Request!$E10,0),(IF(AND(Request!$S$4="Multi",Request!$R$4="PY"),ROUND(Request!$E10*((1+Request!$M10)^4)/Worksheet!$G$5*Worksheet!$G$5,0),(IF(AND(Request!$S$4&lt;&gt;"Multi",Request!$R$4="FY"),ROUND(((1+Request!$S$4)^(Worksheet!$B$20+4)*Worksheet!$G$9+(1+Request!$S$4)^(Worksheet!$B$20+5)*Worksheet!$G$10)/Worksheet!$G$5*Request!$E10,0),ROUND(Request!$E10*((1+Request!$S$4)^4)/Worksheet!$G$5*Worksheet!$G$5,0)))))))))</f>
        <v/>
      </c>
      <c r="K330" s="238"/>
    </row>
    <row r="331" spans="1:11" x14ac:dyDescent="0.2">
      <c r="A331" s="81" t="e">
        <f>#REF!</f>
        <v>#REF!</v>
      </c>
      <c r="B331" s="237">
        <f>IF(Worksheet!$C$5=0,"",IF(AND(Request!$S$4="Multi",Request!$R$4="FY"),ROUND(((1+Request!$M11)^Worksheet!$B$20*Worksheet!$C$9+(1+Request!$M11)^(Worksheet!$B$20+1)*Worksheet!$C$10)/(Worksheet!$C$5)*Request!$E11,0),(IF(AND(Request!$S$4="Multi",Request!$R$4="PY"),ROUND(Request!$E11/(Worksheet!$C$5)*Worksheet!$C$5,0),(IF(AND(Request!$S$4&lt;&gt;"Multi",Request!$R$4="FY"),ROUND(((1+Request!$S$4)^Worksheet!$B$20*Worksheet!$C$9+(1+Request!$S$4)^(Worksheet!$B$20+1)*Worksheet!$C$10)/Worksheet!$C$5*Request!$E11,0),ROUND(Request!$E11/Worksheet!$C$5*Worksheet!$C$5,0)))))))</f>
        <v>25000</v>
      </c>
      <c r="C331" s="238"/>
      <c r="D331" s="237" t="str">
        <f>IF(Worksheet!$D$5=0,"",IF($C$4=$D$4,(IF(AND(Request!$S$4="Multi",Request!$R$4="FY"),ROUND(((1+Request!$M11)^(Worksheet!$B$20)*Worksheet!$D$9+(1+Request!$M11)^(Worksheet!$B$20+1)*Worksheet!$D$10)/Worksheet!$D$5*Request!$E11,0),(IF(AND(Request!$S$4="Multi",Request!$R$4="PY"),ROUND(Request!$E11*(1+Request!$M11)/Worksheet!$D$5*Worksheet!$D$5,0),(IF(AND(Request!$S$4&lt;&gt;"Multi",Request!$R$4="FY"),ROUND(((1+Request!$S$4)^(Worksheet!$B$20)*Worksheet!$D$9+(1+Request!$S$4)^(Worksheet!$B$20+1)*Worksheet!$D$10)/Worksheet!$D$5*Request!$E11,0),ROUND(Request!$E11*(1+Request!$S$4)/Worksheet!$D$5*Worksheet!$D$5,0))))))),(IF(AND(Request!$S$4="Multi",Request!$R$4="FY"),ROUND(((1+Request!$M11)^(Worksheet!$B$20+1)*Worksheet!$D$9+(1+Request!$M11)^(Worksheet!$B$20+2)*Worksheet!$D$10)/Worksheet!$D$5*Request!$E11,0),(IF(AND(Request!$S$4="Multi",Request!$R$4="PY"),ROUND(Request!$E11*(1+Request!$M11)/Worksheet!$D$5*Worksheet!$D$5,0),(IF(AND(Request!$S$4&lt;&gt;"Multi",Request!$R$4="FY"),ROUND(((1+Request!$S$4)^(Worksheet!$B$20+1)*Worksheet!$D$9+(1+Request!$S$4)^(Worksheet!$B$20+2)*Worksheet!$D$10)/Worksheet!$D$5*Request!$E11,0),ROUND(Request!$E11*(1+Request!$S$4)/Worksheet!$D$5*Worksheet!$D$5,0)))))))))</f>
        <v/>
      </c>
      <c r="E331" s="238"/>
      <c r="F331" s="237" t="str">
        <f>IF(Worksheet!$E$5=0,"",IF($C$4=$D$4,(IF(AND(Request!$S$4="Multi",Request!$R$4="FY"),ROUND(((1+Request!$M11)^(Worksheet!$B$20+1)*Worksheet!$E$9+(1+Request!$M11)^(Worksheet!$B$20+3)*Worksheet!$E$10)/Worksheet!$E$5*Request!$E11,0),(IF(AND(Request!$S$4="Multi",Request!$R$4="PY"),ROUND(Request!$E11*((1+Request!$M11)^2)/Worksheet!$E$5*Worksheet!$E$5,0),(IF(AND(Request!$S$4&lt;&gt;"Multi",Request!$R$4="FY"),ROUND(((1+Request!$S$4)^(Worksheet!$B$20+1)*Worksheet!$E$9+(1+Request!$S$4)^(Worksheet!$B$20+2)*Worksheet!$E$10)/Worksheet!$E$5*Request!$E11,0),ROUND(Request!$E11*((1+Request!$S$4)^2)/Worksheet!$E$5*Worksheet!$E$5,0))))))),(IF(AND(Request!$S$4="Multi",Request!$R$4="FY"),ROUND(((1+Request!$M11)^(Worksheet!$B$20+2)*Worksheet!$E$9+(1+Request!$M11)^(Worksheet!$B$20+3)*Worksheet!$E$10)/Worksheet!$E$5*Request!$E11,0),(IF(AND(Request!$S$4="Multi",Request!$R$4="PY"),ROUND(Request!$E11*((1+Request!$M11)^2)/Worksheet!$E$5*Worksheet!$E$5,0),(IF(AND(Request!$S$4&lt;&gt;"Multi",Request!$R$4="FY"),ROUND(((1+Request!$S$4)^(Worksheet!$B$20+2)*Worksheet!$E$9+(1+Request!$S$4)^(Worksheet!$B$20+3)*Worksheet!$E$10)/Worksheet!$E$5*Request!$E11,0),ROUND(Request!$E11*((1+Request!$S$4)^2)/Worksheet!$E$5*Worksheet!$E$5,0)))))))))</f>
        <v/>
      </c>
      <c r="G331" s="238"/>
      <c r="H331" s="237" t="str">
        <f>IF(Worksheet!$F$5=0,"",IF($C$4=$D$4,(IF(AND(Request!$S$4="Multi",Request!$R$4="FY"),ROUND(((1+Request!$M11)^(Worksheet!$B$20+2)*Worksheet!$F$9+(1+Request!$M11)^(Worksheet!$B$20+3)*Worksheet!$F$10)/Worksheet!$F$5*Request!$E11,0),(IF(AND(Request!$S$4="Multi",Request!$R$4="PY"),ROUND(Request!$E11*((1+Request!$M11)^3)/Worksheet!$F$5*Worksheet!$F$5,0),(IF(AND(Request!$S$4&lt;&gt;"Multi",Request!$R$4="FY"),ROUND(((1+Request!$S$4)^(Worksheet!$B$20+2)*Worksheet!$F$9+(1+Request!$S$4)^(Worksheet!$B$20+3)*Worksheet!$F$10)/Worksheet!$F$5*Request!$E11,0),ROUND(Request!$E11*((1+Request!$S$4)^3)/Worksheet!$F$5*Worksheet!$F$5,0))))))),(IF(AND(Request!$S$4="Multi",Request!$R$4="FY"),ROUND(((1+Request!$M11)^(Worksheet!$B$20+3)*Worksheet!$F$9+(1+Request!$M11)^(Worksheet!$B$20+4)*Worksheet!$F$10)/Worksheet!$F$5*Request!$E11,0),(IF(AND(Request!$S$4="Multi",Request!$R$4="PY"),ROUND(Request!$E11*((1+Request!$M11)^3)/Worksheet!$F$5*Worksheet!$F$5,0),(IF(AND(Request!$S$4&lt;&gt;"Multi",Request!$R$4="FY"),ROUND(((1+Request!$S$4)^(Worksheet!$B$20+3)*Worksheet!$F$9+(1+Request!$S$4)^(Worksheet!$B$20+4)*Worksheet!$F$10)/Worksheet!$F$5*Request!$E11,0),ROUND(Request!$E11*((1+Request!$S$4)^3)/Worksheet!$F$5*Worksheet!$F$5,0)))))))))</f>
        <v/>
      </c>
      <c r="I331" s="238"/>
      <c r="J331" s="237" t="str">
        <f>IF(Worksheet!$G$5=0,"",IF($C$4=$D$4,(IF(AND(Request!$S$4="Multi",Request!$R$4="FY"),ROUND(((1+Request!$M11)^(Worksheet!$B$20+3)*Worksheet!$G$9+(1+Request!$M11)^(Worksheet!$B$20+4)*Worksheet!$G$10)/Worksheet!$G$5*Request!$E11,0),(IF(AND(Request!$S$4="Multi",Request!$R$4="PY"),ROUND(Request!$E11*((1+Request!$M11)^4)/Worksheet!$G$5*Worksheet!$G$5,0),(IF(AND(Request!$S$4&lt;&gt;"Multi",Request!$R$4="FY"),ROUND(((1+Request!$S$4)^(Worksheet!$B$20+3)*Worksheet!$G$9+(1+Request!$S$4)^(Worksheet!$B$20+4)*Worksheet!$G$10)/Worksheet!$G$5*Request!$E11,0),ROUND(Request!$E11*((1+Request!$S$4)^4)/Worksheet!$G$5*Worksheet!$G$5,0))))))),(IF(AND(Request!$S$4="Multi",Request!$R$4="FY"),ROUND(((1+Request!$M11)^(Worksheet!$B$20+4)*Worksheet!$G$9+(1+Request!$M11)^(Worksheet!$B$20+5)*Worksheet!$G$10)/Worksheet!$G$5*Request!$E11,0),(IF(AND(Request!$S$4="Multi",Request!$R$4="PY"),ROUND(Request!$E11*((1+Request!$M11)^4)/Worksheet!$G$5*Worksheet!$G$5,0),(IF(AND(Request!$S$4&lt;&gt;"Multi",Request!$R$4="FY"),ROUND(((1+Request!$S$4)^(Worksheet!$B$20+4)*Worksheet!$G$9+(1+Request!$S$4)^(Worksheet!$B$20+5)*Worksheet!$G$10)/Worksheet!$G$5*Request!$E11,0),ROUND(Request!$E11*((1+Request!$S$4)^4)/Worksheet!$G$5*Worksheet!$G$5,0)))))))))</f>
        <v/>
      </c>
      <c r="K331" s="238"/>
    </row>
    <row r="332" spans="1:11" x14ac:dyDescent="0.2">
      <c r="A332" s="81" t="e">
        <f>#REF!</f>
        <v>#REF!</v>
      </c>
      <c r="B332" s="237">
        <f>IF(Worksheet!$C$5=0,"",IF(AND(Request!$S$4="Multi",Request!$R$4="FY"),ROUND(((1+Request!$M12)^Worksheet!$B$20*Worksheet!$C$9+(1+Request!$M12)^(Worksheet!$B$20+1)*Worksheet!$C$10)/(Worksheet!$C$5)*Request!$E12,0),(IF(AND(Request!$S$4="Multi",Request!$R$4="PY"),ROUND(Request!$E12/(Worksheet!$C$5)*Worksheet!$C$5,0),(IF(AND(Request!$S$4&lt;&gt;"Multi",Request!$R$4="FY"),ROUND(((1+Request!$S$4)^Worksheet!$B$20*Worksheet!$C$9+(1+Request!$S$4)^(Worksheet!$B$20+1)*Worksheet!$C$10)/Worksheet!$C$5*Request!$E12,0),ROUND(Request!$E12/Worksheet!$C$5*Worksheet!$C$5,0)))))))</f>
        <v>0</v>
      </c>
      <c r="C332" s="238"/>
      <c r="D332" s="237" t="str">
        <f>IF(Worksheet!$D$5=0,"",IF($C$4=$D$4,(IF(AND(Request!$S$4="Multi",Request!$R$4="FY"),ROUND(((1+Request!$M12)^(Worksheet!$B$20)*Worksheet!$D$9+(1+Request!$M12)^(Worksheet!$B$20+1)*Worksheet!$D$10)/Worksheet!$D$5*Request!$E12,0),(IF(AND(Request!$S$4="Multi",Request!$R$4="PY"),ROUND(Request!$E12*(1+Request!$M12)/Worksheet!$D$5*Worksheet!$D$5,0),(IF(AND(Request!$S$4&lt;&gt;"Multi",Request!$R$4="FY"),ROUND(((1+Request!$S$4)^(Worksheet!$B$20)*Worksheet!$D$9+(1+Request!$S$4)^(Worksheet!$B$20+1)*Worksheet!$D$10)/Worksheet!$D$5*Request!$E12,0),ROUND(Request!$E12*(1+Request!$S$4)/Worksheet!$D$5*Worksheet!$D$5,0))))))),(IF(AND(Request!$S$4="Multi",Request!$R$4="FY"),ROUND(((1+Request!$M12)^(Worksheet!$B$20+1)*Worksheet!$D$9+(1+Request!$M12)^(Worksheet!$B$20+2)*Worksheet!$D$10)/Worksheet!$D$5*Request!$E12,0),(IF(AND(Request!$S$4="Multi",Request!$R$4="PY"),ROUND(Request!$E12*(1+Request!$M12)/Worksheet!$D$5*Worksheet!$D$5,0),(IF(AND(Request!$S$4&lt;&gt;"Multi",Request!$R$4="FY"),ROUND(((1+Request!$S$4)^(Worksheet!$B$20+1)*Worksheet!$D$9+(1+Request!$S$4)^(Worksheet!$B$20+2)*Worksheet!$D$10)/Worksheet!$D$5*Request!$E12,0),ROUND(Request!$E12*(1+Request!$S$4)/Worksheet!$D$5*Worksheet!$D$5,0)))))))))</f>
        <v/>
      </c>
      <c r="E332" s="238"/>
      <c r="F332" s="237" t="str">
        <f>IF(Worksheet!$E$5=0,"",IF($C$4=$D$4,(IF(AND(Request!$S$4="Multi",Request!$R$4="FY"),ROUND(((1+Request!$M12)^(Worksheet!$B$20+1)*Worksheet!$E$9+(1+Request!$M12)^(Worksheet!$B$20+3)*Worksheet!$E$10)/Worksheet!$E$5*Request!$E12,0),(IF(AND(Request!$S$4="Multi",Request!$R$4="PY"),ROUND(Request!$E12*((1+Request!$M12)^2)/Worksheet!$E$5*Worksheet!$E$5,0),(IF(AND(Request!$S$4&lt;&gt;"Multi",Request!$R$4="FY"),ROUND(((1+Request!$S$4)^(Worksheet!$B$20+1)*Worksheet!$E$9+(1+Request!$S$4)^(Worksheet!$B$20+2)*Worksheet!$E$10)/Worksheet!$E$5*Request!$E12,0),ROUND(Request!$E12*((1+Request!$S$4)^2)/Worksheet!$E$5*Worksheet!$E$5,0))))))),(IF(AND(Request!$S$4="Multi",Request!$R$4="FY"),ROUND(((1+Request!$M12)^(Worksheet!$B$20+2)*Worksheet!$E$9+(1+Request!$M12)^(Worksheet!$B$20+3)*Worksheet!$E$10)/Worksheet!$E$5*Request!$E12,0),(IF(AND(Request!$S$4="Multi",Request!$R$4="PY"),ROUND(Request!$E12*((1+Request!$M12)^2)/Worksheet!$E$5*Worksheet!$E$5,0),(IF(AND(Request!$S$4&lt;&gt;"Multi",Request!$R$4="FY"),ROUND(((1+Request!$S$4)^(Worksheet!$B$20+2)*Worksheet!$E$9+(1+Request!$S$4)^(Worksheet!$B$20+3)*Worksheet!$E$10)/Worksheet!$E$5*Request!$E12,0),ROUND(Request!$E12*((1+Request!$S$4)^2)/Worksheet!$E$5*Worksheet!$E$5,0)))))))))</f>
        <v/>
      </c>
      <c r="G332" s="238"/>
      <c r="H332" s="237" t="str">
        <f>IF(Worksheet!$F$5=0,"",IF($C$4=$D$4,(IF(AND(Request!$S$4="Multi",Request!$R$4="FY"),ROUND(((1+Request!$M12)^(Worksheet!$B$20+2)*Worksheet!$F$9+(1+Request!$M12)^(Worksheet!$B$20+3)*Worksheet!$F$10)/Worksheet!$F$5*Request!$E12,0),(IF(AND(Request!$S$4="Multi",Request!$R$4="PY"),ROUND(Request!$E12*((1+Request!$M12)^3)/Worksheet!$F$5*Worksheet!$F$5,0),(IF(AND(Request!$S$4&lt;&gt;"Multi",Request!$R$4="FY"),ROUND(((1+Request!$S$4)^(Worksheet!$B$20+2)*Worksheet!$F$9+(1+Request!$S$4)^(Worksheet!$B$20+3)*Worksheet!$F$10)/Worksheet!$F$5*Request!$E12,0),ROUND(Request!$E12*((1+Request!$S$4)^3)/Worksheet!$F$5*Worksheet!$F$5,0))))))),(IF(AND(Request!$S$4="Multi",Request!$R$4="FY"),ROUND(((1+Request!$M12)^(Worksheet!$B$20+3)*Worksheet!$F$9+(1+Request!$M12)^(Worksheet!$B$20+4)*Worksheet!$F$10)/Worksheet!$F$5*Request!$E12,0),(IF(AND(Request!$S$4="Multi",Request!$R$4="PY"),ROUND(Request!$E12*((1+Request!$M12)^3)/Worksheet!$F$5*Worksheet!$F$5,0),(IF(AND(Request!$S$4&lt;&gt;"Multi",Request!$R$4="FY"),ROUND(((1+Request!$S$4)^(Worksheet!$B$20+3)*Worksheet!$F$9+(1+Request!$S$4)^(Worksheet!$B$20+4)*Worksheet!$F$10)/Worksheet!$F$5*Request!$E12,0),ROUND(Request!$E12*((1+Request!$S$4)^3)/Worksheet!$F$5*Worksheet!$F$5,0)))))))))</f>
        <v/>
      </c>
      <c r="I332" s="238"/>
      <c r="J332" s="237" t="str">
        <f>IF(Worksheet!$G$5=0,"",IF($C$4=$D$4,(IF(AND(Request!$S$4="Multi",Request!$R$4="FY"),ROUND(((1+Request!$M12)^(Worksheet!$B$20+3)*Worksheet!$G$9+(1+Request!$M12)^(Worksheet!$B$20+4)*Worksheet!$G$10)/Worksheet!$G$5*Request!$E12,0),(IF(AND(Request!$S$4="Multi",Request!$R$4="PY"),ROUND(Request!$E12*((1+Request!$M12)^4)/Worksheet!$G$5*Worksheet!$G$5,0),(IF(AND(Request!$S$4&lt;&gt;"Multi",Request!$R$4="FY"),ROUND(((1+Request!$S$4)^(Worksheet!$B$20+3)*Worksheet!$G$9+(1+Request!$S$4)^(Worksheet!$B$20+4)*Worksheet!$G$10)/Worksheet!$G$5*Request!$E12,0),ROUND(Request!$E12*((1+Request!$S$4)^4)/Worksheet!$G$5*Worksheet!$G$5,0))))))),(IF(AND(Request!$S$4="Multi",Request!$R$4="FY"),ROUND(((1+Request!$M12)^(Worksheet!$B$20+4)*Worksheet!$G$9+(1+Request!$M12)^(Worksheet!$B$20+5)*Worksheet!$G$10)/Worksheet!$G$5*Request!$E12,0),(IF(AND(Request!$S$4="Multi",Request!$R$4="PY"),ROUND(Request!$E12*((1+Request!$M12)^4)/Worksheet!$G$5*Worksheet!$G$5,0),(IF(AND(Request!$S$4&lt;&gt;"Multi",Request!$R$4="FY"),ROUND(((1+Request!$S$4)^(Worksheet!$B$20+4)*Worksheet!$G$9+(1+Request!$S$4)^(Worksheet!$B$20+5)*Worksheet!$G$10)/Worksheet!$G$5*Request!$E12,0),ROUND(Request!$E12*((1+Request!$S$4)^4)/Worksheet!$G$5*Worksheet!$G$5,0)))))))))</f>
        <v/>
      </c>
      <c r="K332" s="238"/>
    </row>
    <row r="333" spans="1:11" x14ac:dyDescent="0.2">
      <c r="A333" s="81" t="e">
        <f>#REF!</f>
        <v>#REF!</v>
      </c>
      <c r="B333" s="237">
        <f>IF(Worksheet!$C$5=0,"",IF(AND(Request!$S$4="Multi",Request!$R$4="FY"),ROUND(((1+Request!$M13)^Worksheet!$B$20*Worksheet!$C$9+(1+Request!$M13)^(Worksheet!$B$20+1)*Worksheet!$C$10)/(Worksheet!$C$5)*Request!$E13,0),(IF(AND(Request!$S$4="Multi",Request!$R$4="PY"),ROUND(Request!$E13/(Worksheet!$C$5)*Worksheet!$C$5,0),(IF(AND(Request!$S$4&lt;&gt;"Multi",Request!$R$4="FY"),ROUND(((1+Request!$S$4)^Worksheet!$B$20*Worksheet!$C$9+(1+Request!$S$4)^(Worksheet!$B$20+1)*Worksheet!$C$10)/Worksheet!$C$5*Request!$E13,0),ROUND(Request!$E13/Worksheet!$C$5*Worksheet!$C$5,0)))))))</f>
        <v>0</v>
      </c>
      <c r="C333" s="238"/>
      <c r="D333" s="237" t="str">
        <f>IF(Worksheet!$D$5=0,"",IF($C$4=$D$4,(IF(AND(Request!$S$4="Multi",Request!$R$4="FY"),ROUND(((1+Request!$M13)^(Worksheet!$B$20)*Worksheet!$D$9+(1+Request!$M13)^(Worksheet!$B$20+1)*Worksheet!$D$10)/Worksheet!$D$5*Request!$E13,0),(IF(AND(Request!$S$4="Multi",Request!$R$4="PY"),ROUND(Request!$E13*(1+Request!$M13)/Worksheet!$D$5*Worksheet!$D$5,0),(IF(AND(Request!$S$4&lt;&gt;"Multi",Request!$R$4="FY"),ROUND(((1+Request!$S$4)^(Worksheet!$B$20)*Worksheet!$D$9+(1+Request!$S$4)^(Worksheet!$B$20+1)*Worksheet!$D$10)/Worksheet!$D$5*Request!$E13,0),ROUND(Request!$E13*(1+Request!$S$4)/Worksheet!$D$5*Worksheet!$D$5,0))))))),(IF(AND(Request!$S$4="Multi",Request!$R$4="FY"),ROUND(((1+Request!$M13)^(Worksheet!$B$20+1)*Worksheet!$D$9+(1+Request!$M13)^(Worksheet!$B$20+2)*Worksheet!$D$10)/Worksheet!$D$5*Request!$E13,0),(IF(AND(Request!$S$4="Multi",Request!$R$4="PY"),ROUND(Request!$E13*(1+Request!$M13)/Worksheet!$D$5*Worksheet!$D$5,0),(IF(AND(Request!$S$4&lt;&gt;"Multi",Request!$R$4="FY"),ROUND(((1+Request!$S$4)^(Worksheet!$B$20+1)*Worksheet!$D$9+(1+Request!$S$4)^(Worksheet!$B$20+2)*Worksheet!$D$10)/Worksheet!$D$5*Request!$E13,0),ROUND(Request!$E13*(1+Request!$S$4)/Worksheet!$D$5*Worksheet!$D$5,0)))))))))</f>
        <v/>
      </c>
      <c r="E333" s="238"/>
      <c r="F333" s="237" t="str">
        <f>IF(Worksheet!$E$5=0,"",IF($C$4=$D$4,(IF(AND(Request!$S$4="Multi",Request!$R$4="FY"),ROUND(((1+Request!$M13)^(Worksheet!$B$20+1)*Worksheet!$E$9+(1+Request!$M13)^(Worksheet!$B$20+3)*Worksheet!$E$10)/Worksheet!$E$5*Request!$E13,0),(IF(AND(Request!$S$4="Multi",Request!$R$4="PY"),ROUND(Request!$E13*((1+Request!$M13)^2)/Worksheet!$E$5*Worksheet!$E$5,0),(IF(AND(Request!$S$4&lt;&gt;"Multi",Request!$R$4="FY"),ROUND(((1+Request!$S$4)^(Worksheet!$B$20+1)*Worksheet!$E$9+(1+Request!$S$4)^(Worksheet!$B$20+2)*Worksheet!$E$10)/Worksheet!$E$5*Request!$E13,0),ROUND(Request!$E13*((1+Request!$S$4)^2)/Worksheet!$E$5*Worksheet!$E$5,0))))))),(IF(AND(Request!$S$4="Multi",Request!$R$4="FY"),ROUND(((1+Request!$M13)^(Worksheet!$B$20+2)*Worksheet!$E$9+(1+Request!$M13)^(Worksheet!$B$20+3)*Worksheet!$E$10)/Worksheet!$E$5*Request!$E13,0),(IF(AND(Request!$S$4="Multi",Request!$R$4="PY"),ROUND(Request!$E13*((1+Request!$M13)^2)/Worksheet!$E$5*Worksheet!$E$5,0),(IF(AND(Request!$S$4&lt;&gt;"Multi",Request!$R$4="FY"),ROUND(((1+Request!$S$4)^(Worksheet!$B$20+2)*Worksheet!$E$9+(1+Request!$S$4)^(Worksheet!$B$20+3)*Worksheet!$E$10)/Worksheet!$E$5*Request!$E13,0),ROUND(Request!$E13*((1+Request!$S$4)^2)/Worksheet!$E$5*Worksheet!$E$5,0)))))))))</f>
        <v/>
      </c>
      <c r="G333" s="238"/>
      <c r="H333" s="237" t="str">
        <f>IF(Worksheet!$F$5=0,"",IF($C$4=$D$4,(IF(AND(Request!$S$4="Multi",Request!$R$4="FY"),ROUND(((1+Request!$M13)^(Worksheet!$B$20+2)*Worksheet!$F$9+(1+Request!$M13)^(Worksheet!$B$20+3)*Worksheet!$F$10)/Worksheet!$F$5*Request!$E13,0),(IF(AND(Request!$S$4="Multi",Request!$R$4="PY"),ROUND(Request!$E13*((1+Request!$M13)^3)/Worksheet!$F$5*Worksheet!$F$5,0),(IF(AND(Request!$S$4&lt;&gt;"Multi",Request!$R$4="FY"),ROUND(((1+Request!$S$4)^(Worksheet!$B$20+2)*Worksheet!$F$9+(1+Request!$S$4)^(Worksheet!$B$20+3)*Worksheet!$F$10)/Worksheet!$F$5*Request!$E13,0),ROUND(Request!$E13*((1+Request!$S$4)^3)/Worksheet!$F$5*Worksheet!$F$5,0))))))),(IF(AND(Request!$S$4="Multi",Request!$R$4="FY"),ROUND(((1+Request!$M13)^(Worksheet!$B$20+3)*Worksheet!$F$9+(1+Request!$M13)^(Worksheet!$B$20+4)*Worksheet!$F$10)/Worksheet!$F$5*Request!$E13,0),(IF(AND(Request!$S$4="Multi",Request!$R$4="PY"),ROUND(Request!$E13*((1+Request!$M13)^3)/Worksheet!$F$5*Worksheet!$F$5,0),(IF(AND(Request!$S$4&lt;&gt;"Multi",Request!$R$4="FY"),ROUND(((1+Request!$S$4)^(Worksheet!$B$20+3)*Worksheet!$F$9+(1+Request!$S$4)^(Worksheet!$B$20+4)*Worksheet!$F$10)/Worksheet!$F$5*Request!$E13,0),ROUND(Request!$E13*((1+Request!$S$4)^3)/Worksheet!$F$5*Worksheet!$F$5,0)))))))))</f>
        <v/>
      </c>
      <c r="I333" s="238"/>
      <c r="J333" s="237" t="str">
        <f>IF(Worksheet!$G$5=0,"",IF($C$4=$D$4,(IF(AND(Request!$S$4="Multi",Request!$R$4="FY"),ROUND(((1+Request!$M13)^(Worksheet!$B$20+3)*Worksheet!$G$9+(1+Request!$M13)^(Worksheet!$B$20+4)*Worksheet!$G$10)/Worksheet!$G$5*Request!$E13,0),(IF(AND(Request!$S$4="Multi",Request!$R$4="PY"),ROUND(Request!$E13*((1+Request!$M13)^4)/Worksheet!$G$5*Worksheet!$G$5,0),(IF(AND(Request!$S$4&lt;&gt;"Multi",Request!$R$4="FY"),ROUND(((1+Request!$S$4)^(Worksheet!$B$20+3)*Worksheet!$G$9+(1+Request!$S$4)^(Worksheet!$B$20+4)*Worksheet!$G$10)/Worksheet!$G$5*Request!$E13,0),ROUND(Request!$E13*((1+Request!$S$4)^4)/Worksheet!$G$5*Worksheet!$G$5,0))))))),(IF(AND(Request!$S$4="Multi",Request!$R$4="FY"),ROUND(((1+Request!$M13)^(Worksheet!$B$20+4)*Worksheet!$G$9+(1+Request!$M13)^(Worksheet!$B$20+5)*Worksheet!$G$10)/Worksheet!$G$5*Request!$E13,0),(IF(AND(Request!$S$4="Multi",Request!$R$4="PY"),ROUND(Request!$E13*((1+Request!$M13)^4)/Worksheet!$G$5*Worksheet!$G$5,0),(IF(AND(Request!$S$4&lt;&gt;"Multi",Request!$R$4="FY"),ROUND(((1+Request!$S$4)^(Worksheet!$B$20+4)*Worksheet!$G$9+(1+Request!$S$4)^(Worksheet!$B$20+5)*Worksheet!$G$10)/Worksheet!$G$5*Request!$E13,0),ROUND(Request!$E13*((1+Request!$S$4)^4)/Worksheet!$G$5*Worksheet!$G$5,0)))))))))</f>
        <v/>
      </c>
      <c r="K333" s="238"/>
    </row>
    <row r="334" spans="1:11" x14ac:dyDescent="0.2">
      <c r="A334" s="81" t="e">
        <f>#REF!</f>
        <v>#REF!</v>
      </c>
      <c r="B334" s="237">
        <f>IF(Worksheet!$C$5=0,"",IF(AND(Request!$S$4="Multi",Request!$R$4="FY"),ROUND(((1+Request!$M14)^Worksheet!$B$20*Worksheet!$C$9+(1+Request!$M14)^(Worksheet!$B$20+1)*Worksheet!$C$10)/(Worksheet!$C$5)*Request!$E14,0),(IF(AND(Request!$S$4="Multi",Request!$R$4="PY"),ROUND(Request!$E14/(Worksheet!$C$5)*Worksheet!$C$5,0),(IF(AND(Request!$S$4&lt;&gt;"Multi",Request!$R$4="FY"),ROUND(((1+Request!$S$4)^Worksheet!$B$20*Worksheet!$C$9+(1+Request!$S$4)^(Worksheet!$B$20+1)*Worksheet!$C$10)/Worksheet!$C$5*Request!$E14,0),ROUND(Request!$E14/Worksheet!$C$5*Worksheet!$C$5,0)))))))</f>
        <v>0</v>
      </c>
      <c r="C334" s="238"/>
      <c r="D334" s="237" t="str">
        <f>IF(Worksheet!$D$5=0,"",IF($C$4=$D$4,(IF(AND(Request!$S$4="Multi",Request!$R$4="FY"),ROUND(((1+Request!$M14)^(Worksheet!$B$20)*Worksheet!$D$9+(1+Request!$M14)^(Worksheet!$B$20+1)*Worksheet!$D$10)/Worksheet!$D$5*Request!$E14,0),(IF(AND(Request!$S$4="Multi",Request!$R$4="PY"),ROUND(Request!$E14*(1+Request!$M14)/Worksheet!$D$5*Worksheet!$D$5,0),(IF(AND(Request!$S$4&lt;&gt;"Multi",Request!$R$4="FY"),ROUND(((1+Request!$S$4)^(Worksheet!$B$20)*Worksheet!$D$9+(1+Request!$S$4)^(Worksheet!$B$20+1)*Worksheet!$D$10)/Worksheet!$D$5*Request!$E14,0),ROUND(Request!$E14*(1+Request!$S$4)/Worksheet!$D$5*Worksheet!$D$5,0))))))),(IF(AND(Request!$S$4="Multi",Request!$R$4="FY"),ROUND(((1+Request!$M14)^(Worksheet!$B$20+1)*Worksheet!$D$9+(1+Request!$M14)^(Worksheet!$B$20+2)*Worksheet!$D$10)/Worksheet!$D$5*Request!$E14,0),(IF(AND(Request!$S$4="Multi",Request!$R$4="PY"),ROUND(Request!$E14*(1+Request!$M14)/Worksheet!$D$5*Worksheet!$D$5,0),(IF(AND(Request!$S$4&lt;&gt;"Multi",Request!$R$4="FY"),ROUND(((1+Request!$S$4)^(Worksheet!$B$20+1)*Worksheet!$D$9+(1+Request!$S$4)^(Worksheet!$B$20+2)*Worksheet!$D$10)/Worksheet!$D$5*Request!$E14,0),ROUND(Request!$E14*(1+Request!$S$4)/Worksheet!$D$5*Worksheet!$D$5,0)))))))))</f>
        <v/>
      </c>
      <c r="E334" s="238"/>
      <c r="F334" s="237" t="str">
        <f>IF(Worksheet!$E$5=0,"",IF($C$4=$D$4,(IF(AND(Request!$S$4="Multi",Request!$R$4="FY"),ROUND(((1+Request!$M14)^(Worksheet!$B$20+1)*Worksheet!$E$9+(1+Request!$M14)^(Worksheet!$B$20+3)*Worksheet!$E$10)/Worksheet!$E$5*Request!$E14,0),(IF(AND(Request!$S$4="Multi",Request!$R$4="PY"),ROUND(Request!$E14*((1+Request!$M14)^2)/Worksheet!$E$5*Worksheet!$E$5,0),(IF(AND(Request!$S$4&lt;&gt;"Multi",Request!$R$4="FY"),ROUND(((1+Request!$S$4)^(Worksheet!$B$20+1)*Worksheet!$E$9+(1+Request!$S$4)^(Worksheet!$B$20+2)*Worksheet!$E$10)/Worksheet!$E$5*Request!$E14,0),ROUND(Request!$E14*((1+Request!$S$4)^2)/Worksheet!$E$5*Worksheet!$E$5,0))))))),(IF(AND(Request!$S$4="Multi",Request!$R$4="FY"),ROUND(((1+Request!$M14)^(Worksheet!$B$20+2)*Worksheet!$E$9+(1+Request!$M14)^(Worksheet!$B$20+3)*Worksheet!$E$10)/Worksheet!$E$5*Request!$E14,0),(IF(AND(Request!$S$4="Multi",Request!$R$4="PY"),ROUND(Request!$E14*((1+Request!$M14)^2)/Worksheet!$E$5*Worksheet!$E$5,0),(IF(AND(Request!$S$4&lt;&gt;"Multi",Request!$R$4="FY"),ROUND(((1+Request!$S$4)^(Worksheet!$B$20+2)*Worksheet!$E$9+(1+Request!$S$4)^(Worksheet!$B$20+3)*Worksheet!$E$10)/Worksheet!$E$5*Request!$E14,0),ROUND(Request!$E14*((1+Request!$S$4)^2)/Worksheet!$E$5*Worksheet!$E$5,0)))))))))</f>
        <v/>
      </c>
      <c r="G334" s="238"/>
      <c r="H334" s="237" t="str">
        <f>IF(Worksheet!$F$5=0,"",IF($C$4=$D$4,(IF(AND(Request!$S$4="Multi",Request!$R$4="FY"),ROUND(((1+Request!$M14)^(Worksheet!$B$20+2)*Worksheet!$F$9+(1+Request!$M14)^(Worksheet!$B$20+3)*Worksheet!$F$10)/Worksheet!$F$5*Request!$E14,0),(IF(AND(Request!$S$4="Multi",Request!$R$4="PY"),ROUND(Request!$E14*((1+Request!$M14)^3)/Worksheet!$F$5*Worksheet!$F$5,0),(IF(AND(Request!$S$4&lt;&gt;"Multi",Request!$R$4="FY"),ROUND(((1+Request!$S$4)^(Worksheet!$B$20+2)*Worksheet!$F$9+(1+Request!$S$4)^(Worksheet!$B$20+3)*Worksheet!$F$10)/Worksheet!$F$5*Request!$E14,0),ROUND(Request!$E14*((1+Request!$S$4)^3)/Worksheet!$F$5*Worksheet!$F$5,0))))))),(IF(AND(Request!$S$4="Multi",Request!$R$4="FY"),ROUND(((1+Request!$M14)^(Worksheet!$B$20+3)*Worksheet!$F$9+(1+Request!$M14)^(Worksheet!$B$20+4)*Worksheet!$F$10)/Worksheet!$F$5*Request!$E14,0),(IF(AND(Request!$S$4="Multi",Request!$R$4="PY"),ROUND(Request!$E14*((1+Request!$M14)^3)/Worksheet!$F$5*Worksheet!$F$5,0),(IF(AND(Request!$S$4&lt;&gt;"Multi",Request!$R$4="FY"),ROUND(((1+Request!$S$4)^(Worksheet!$B$20+3)*Worksheet!$F$9+(1+Request!$S$4)^(Worksheet!$B$20+4)*Worksheet!$F$10)/Worksheet!$F$5*Request!$E14,0),ROUND(Request!$E14*((1+Request!$S$4)^3)/Worksheet!$F$5*Worksheet!$F$5,0)))))))))</f>
        <v/>
      </c>
      <c r="I334" s="238"/>
      <c r="J334" s="237" t="str">
        <f>IF(Worksheet!$G$5=0,"",IF($C$4=$D$4,(IF(AND(Request!$S$4="Multi",Request!$R$4="FY"),ROUND(((1+Request!$M14)^(Worksheet!$B$20+3)*Worksheet!$G$9+(1+Request!$M14)^(Worksheet!$B$20+4)*Worksheet!$G$10)/Worksheet!$G$5*Request!$E14,0),(IF(AND(Request!$S$4="Multi",Request!$R$4="PY"),ROUND(Request!$E14*((1+Request!$M14)^4)/Worksheet!$G$5*Worksheet!$G$5,0),(IF(AND(Request!$S$4&lt;&gt;"Multi",Request!$R$4="FY"),ROUND(((1+Request!$S$4)^(Worksheet!$B$20+3)*Worksheet!$G$9+(1+Request!$S$4)^(Worksheet!$B$20+4)*Worksheet!$G$10)/Worksheet!$G$5*Request!$E14,0),ROUND(Request!$E14*((1+Request!$S$4)^4)/Worksheet!$G$5*Worksheet!$G$5,0))))))),(IF(AND(Request!$S$4="Multi",Request!$R$4="FY"),ROUND(((1+Request!$M14)^(Worksheet!$B$20+4)*Worksheet!$G$9+(1+Request!$M14)^(Worksheet!$B$20+5)*Worksheet!$G$10)/Worksheet!$G$5*Request!$E14,0),(IF(AND(Request!$S$4="Multi",Request!$R$4="PY"),ROUND(Request!$E14*((1+Request!$M14)^4)/Worksheet!$G$5*Worksheet!$G$5,0),(IF(AND(Request!$S$4&lt;&gt;"Multi",Request!$R$4="FY"),ROUND(((1+Request!$S$4)^(Worksheet!$B$20+4)*Worksheet!$G$9+(1+Request!$S$4)^(Worksheet!$B$20+5)*Worksheet!$G$10)/Worksheet!$G$5*Request!$E14,0),ROUND(Request!$E14*((1+Request!$S$4)^4)/Worksheet!$G$5*Worksheet!$G$5,0)))))))))</f>
        <v/>
      </c>
      <c r="K334" s="238"/>
    </row>
    <row r="335" spans="1:11" x14ac:dyDescent="0.2">
      <c r="A335" s="81" t="e">
        <f>#REF!</f>
        <v>#REF!</v>
      </c>
      <c r="B335" s="237">
        <f>IF(Worksheet!$C$5=0,"",IF(AND(Request!$S$4="Multi",Request!$R$4="FY"),ROUND(((1+Request!$M15)^Worksheet!$B$20*Worksheet!$C$9+(1+Request!$M15)^(Worksheet!$B$20+1)*Worksheet!$C$10)/(Worksheet!$C$5)*Request!$E15,0),(IF(AND(Request!$S$4="Multi",Request!$R$4="PY"),ROUND(Request!$E15/(Worksheet!$C$5)*Worksheet!$C$5,0),(IF(AND(Request!$S$4&lt;&gt;"Multi",Request!$R$4="FY"),ROUND(((1+Request!$S$4)^Worksheet!$B$20*Worksheet!$C$9+(1+Request!$S$4)^(Worksheet!$B$20+1)*Worksheet!$C$10)/Worksheet!$C$5*Request!$E15,0),ROUND(Request!$E15/Worksheet!$C$5*Worksheet!$C$5,0)))))))</f>
        <v>0</v>
      </c>
      <c r="C335" s="238"/>
      <c r="D335" s="237" t="str">
        <f>IF(Worksheet!$D$5=0,"",IF($C$4=$D$4,(IF(AND(Request!$S$4="Multi",Request!$R$4="FY"),ROUND(((1+Request!$M15)^(Worksheet!$B$20)*Worksheet!$D$9+(1+Request!$M15)^(Worksheet!$B$20+1)*Worksheet!$D$10)/Worksheet!$D$5*Request!$E15,0),(IF(AND(Request!$S$4="Multi",Request!$R$4="PY"),ROUND(Request!$E15*(1+Request!$M15)/Worksheet!$D$5*Worksheet!$D$5,0),(IF(AND(Request!$S$4&lt;&gt;"Multi",Request!$R$4="FY"),ROUND(((1+Request!$S$4)^(Worksheet!$B$20)*Worksheet!$D$9+(1+Request!$S$4)^(Worksheet!$B$20+1)*Worksheet!$D$10)/Worksheet!$D$5*Request!$E15,0),ROUND(Request!$E15*(1+Request!$S$4)/Worksheet!$D$5*Worksheet!$D$5,0))))))),(IF(AND(Request!$S$4="Multi",Request!$R$4="FY"),ROUND(((1+Request!$M15)^(Worksheet!$B$20+1)*Worksheet!$D$9+(1+Request!$M15)^(Worksheet!$B$20+2)*Worksheet!$D$10)/Worksheet!$D$5*Request!$E15,0),(IF(AND(Request!$S$4="Multi",Request!$R$4="PY"),ROUND(Request!$E15*(1+Request!$M15)/Worksheet!$D$5*Worksheet!$D$5,0),(IF(AND(Request!$S$4&lt;&gt;"Multi",Request!$R$4="FY"),ROUND(((1+Request!$S$4)^(Worksheet!$B$20+1)*Worksheet!$D$9+(1+Request!$S$4)^(Worksheet!$B$20+2)*Worksheet!$D$10)/Worksheet!$D$5*Request!$E15,0),ROUND(Request!$E15*(1+Request!$S$4)/Worksheet!$D$5*Worksheet!$D$5,0)))))))))</f>
        <v/>
      </c>
      <c r="E335" s="238"/>
      <c r="F335" s="237" t="str">
        <f>IF(Worksheet!$E$5=0,"",IF($C$4=$D$4,(IF(AND(Request!$S$4="Multi",Request!$R$4="FY"),ROUND(((1+Request!$M15)^(Worksheet!$B$20+1)*Worksheet!$E$9+(1+Request!$M15)^(Worksheet!$B$20+3)*Worksheet!$E$10)/Worksheet!$E$5*Request!$E15,0),(IF(AND(Request!$S$4="Multi",Request!$R$4="PY"),ROUND(Request!$E15*((1+Request!$M15)^2)/Worksheet!$E$5*Worksheet!$E$5,0),(IF(AND(Request!$S$4&lt;&gt;"Multi",Request!$R$4="FY"),ROUND(((1+Request!$S$4)^(Worksheet!$B$20+1)*Worksheet!$E$9+(1+Request!$S$4)^(Worksheet!$B$20+2)*Worksheet!$E$10)/Worksheet!$E$5*Request!$E15,0),ROUND(Request!$E15*((1+Request!$S$4)^2)/Worksheet!$E$5*Worksheet!$E$5,0))))))),(IF(AND(Request!$S$4="Multi",Request!$R$4="FY"),ROUND(((1+Request!$M15)^(Worksheet!$B$20+2)*Worksheet!$E$9+(1+Request!$M15)^(Worksheet!$B$20+3)*Worksheet!$E$10)/Worksheet!$E$5*Request!$E15,0),(IF(AND(Request!$S$4="Multi",Request!$R$4="PY"),ROUND(Request!$E15*((1+Request!$M15)^2)/Worksheet!$E$5*Worksheet!$E$5,0),(IF(AND(Request!$S$4&lt;&gt;"Multi",Request!$R$4="FY"),ROUND(((1+Request!$S$4)^(Worksheet!$B$20+2)*Worksheet!$E$9+(1+Request!$S$4)^(Worksheet!$B$20+3)*Worksheet!$E$10)/Worksheet!$E$5*Request!$E15,0),ROUND(Request!$E15*((1+Request!$S$4)^2)/Worksheet!$E$5*Worksheet!$E$5,0)))))))))</f>
        <v/>
      </c>
      <c r="G335" s="238"/>
      <c r="H335" s="237" t="str">
        <f>IF(Worksheet!$F$5=0,"",IF($C$4=$D$4,(IF(AND(Request!$S$4="Multi",Request!$R$4="FY"),ROUND(((1+Request!$M15)^(Worksheet!$B$20+2)*Worksheet!$F$9+(1+Request!$M15)^(Worksheet!$B$20+3)*Worksheet!$F$10)/Worksheet!$F$5*Request!$E15,0),(IF(AND(Request!$S$4="Multi",Request!$R$4="PY"),ROUND(Request!$E15*((1+Request!$M15)^3)/Worksheet!$F$5*Worksheet!$F$5,0),(IF(AND(Request!$S$4&lt;&gt;"Multi",Request!$R$4="FY"),ROUND(((1+Request!$S$4)^(Worksheet!$B$20+2)*Worksheet!$F$9+(1+Request!$S$4)^(Worksheet!$B$20+3)*Worksheet!$F$10)/Worksheet!$F$5*Request!$E15,0),ROUND(Request!$E15*((1+Request!$S$4)^3)/Worksheet!$F$5*Worksheet!$F$5,0))))))),(IF(AND(Request!$S$4="Multi",Request!$R$4="FY"),ROUND(((1+Request!$M15)^(Worksheet!$B$20+3)*Worksheet!$F$9+(1+Request!$M15)^(Worksheet!$B$20+4)*Worksheet!$F$10)/Worksheet!$F$5*Request!$E15,0),(IF(AND(Request!$S$4="Multi",Request!$R$4="PY"),ROUND(Request!$E15*((1+Request!$M15)^3)/Worksheet!$F$5*Worksheet!$F$5,0),(IF(AND(Request!$S$4&lt;&gt;"Multi",Request!$R$4="FY"),ROUND(((1+Request!$S$4)^(Worksheet!$B$20+3)*Worksheet!$F$9+(1+Request!$S$4)^(Worksheet!$B$20+4)*Worksheet!$F$10)/Worksheet!$F$5*Request!$E15,0),ROUND(Request!$E15*((1+Request!$S$4)^3)/Worksheet!$F$5*Worksheet!$F$5,0)))))))))</f>
        <v/>
      </c>
      <c r="I335" s="238"/>
      <c r="J335" s="237" t="str">
        <f>IF(Worksheet!$G$5=0,"",IF($C$4=$D$4,(IF(AND(Request!$S$4="Multi",Request!$R$4="FY"),ROUND(((1+Request!$M15)^(Worksheet!$B$20+3)*Worksheet!$G$9+(1+Request!$M15)^(Worksheet!$B$20+4)*Worksheet!$G$10)/Worksheet!$G$5*Request!$E15,0),(IF(AND(Request!$S$4="Multi",Request!$R$4="PY"),ROUND(Request!$E15*((1+Request!$M15)^4)/Worksheet!$G$5*Worksheet!$G$5,0),(IF(AND(Request!$S$4&lt;&gt;"Multi",Request!$R$4="FY"),ROUND(((1+Request!$S$4)^(Worksheet!$B$20+3)*Worksheet!$G$9+(1+Request!$S$4)^(Worksheet!$B$20+4)*Worksheet!$G$10)/Worksheet!$G$5*Request!$E15,0),ROUND(Request!$E15*((1+Request!$S$4)^4)/Worksheet!$G$5*Worksheet!$G$5,0))))))),(IF(AND(Request!$S$4="Multi",Request!$R$4="FY"),ROUND(((1+Request!$M15)^(Worksheet!$B$20+4)*Worksheet!$G$9+(1+Request!$M15)^(Worksheet!$B$20+5)*Worksheet!$G$10)/Worksheet!$G$5*Request!$E15,0),(IF(AND(Request!$S$4="Multi",Request!$R$4="PY"),ROUND(Request!$E15*((1+Request!$M15)^4)/Worksheet!$G$5*Worksheet!$G$5,0),(IF(AND(Request!$S$4&lt;&gt;"Multi",Request!$R$4="FY"),ROUND(((1+Request!$S$4)^(Worksheet!$B$20+4)*Worksheet!$G$9+(1+Request!$S$4)^(Worksheet!$B$20+5)*Worksheet!$G$10)/Worksheet!$G$5*Request!$E15,0),ROUND(Request!$E15*((1+Request!$S$4)^4)/Worksheet!$G$5*Worksheet!$G$5,0)))))))))</f>
        <v/>
      </c>
      <c r="K335" s="238"/>
    </row>
    <row r="336" spans="1:11" x14ac:dyDescent="0.2">
      <c r="A336" s="81" t="e">
        <f>#REF!</f>
        <v>#REF!</v>
      </c>
      <c r="B336" s="237">
        <f>IF(Worksheet!$C$5=0,"",IF(AND(Request!$S$4="Multi",Request!$R$4="FY"),ROUND(((1+Request!$M16)^Worksheet!$B$20*Worksheet!$C$9+(1+Request!$M16)^(Worksheet!$B$20+1)*Worksheet!$C$10)/(Worksheet!$C$5)*Request!$E16,0),(IF(AND(Request!$S$4="Multi",Request!$R$4="PY"),ROUND(Request!$E16/(Worksheet!$C$5)*Worksheet!$C$5,0),(IF(AND(Request!$S$4&lt;&gt;"Multi",Request!$R$4="FY"),ROUND(((1+Request!$S$4)^Worksheet!$B$20*Worksheet!$C$9+(1+Request!$S$4)^(Worksheet!$B$20+1)*Worksheet!$C$10)/Worksheet!$C$5*Request!$E16,0),ROUND(Request!$E16/Worksheet!$C$5*Worksheet!$C$5,0)))))))</f>
        <v>0</v>
      </c>
      <c r="C336" s="238"/>
      <c r="D336" s="237" t="str">
        <f>IF(Worksheet!$D$5=0,"",IF($C$4=$D$4,(IF(AND(Request!$S$4="Multi",Request!$R$4="FY"),ROUND(((1+Request!$M16)^(Worksheet!$B$20)*Worksheet!$D$9+(1+Request!$M16)^(Worksheet!$B$20+1)*Worksheet!$D$10)/Worksheet!$D$5*Request!$E16,0),(IF(AND(Request!$S$4="Multi",Request!$R$4="PY"),ROUND(Request!$E16*(1+Request!$M16)/Worksheet!$D$5*Worksheet!$D$5,0),(IF(AND(Request!$S$4&lt;&gt;"Multi",Request!$R$4="FY"),ROUND(((1+Request!$S$4)^(Worksheet!$B$20)*Worksheet!$D$9+(1+Request!$S$4)^(Worksheet!$B$20+1)*Worksheet!$D$10)/Worksheet!$D$5*Request!$E16,0),ROUND(Request!$E16*(1+Request!$S$4)/Worksheet!$D$5*Worksheet!$D$5,0))))))),(IF(AND(Request!$S$4="Multi",Request!$R$4="FY"),ROUND(((1+Request!$M16)^(Worksheet!$B$20+1)*Worksheet!$D$9+(1+Request!$M16)^(Worksheet!$B$20+2)*Worksheet!$D$10)/Worksheet!$D$5*Request!$E16,0),(IF(AND(Request!$S$4="Multi",Request!$R$4="PY"),ROUND(Request!$E16*(1+Request!$M16)/Worksheet!$D$5*Worksheet!$D$5,0),(IF(AND(Request!$S$4&lt;&gt;"Multi",Request!$R$4="FY"),ROUND(((1+Request!$S$4)^(Worksheet!$B$20+1)*Worksheet!$D$9+(1+Request!$S$4)^(Worksheet!$B$20+2)*Worksheet!$D$10)/Worksheet!$D$5*Request!$E16,0),ROUND(Request!$E16*(1+Request!$S$4)/Worksheet!$D$5*Worksheet!$D$5,0)))))))))</f>
        <v/>
      </c>
      <c r="E336" s="238"/>
      <c r="F336" s="237" t="str">
        <f>IF(Worksheet!$E$5=0,"",IF($C$4=$D$4,(IF(AND(Request!$S$4="Multi",Request!$R$4="FY"),ROUND(((1+Request!$M16)^(Worksheet!$B$20+1)*Worksheet!$E$9+(1+Request!$M16)^(Worksheet!$B$20+3)*Worksheet!$E$10)/Worksheet!$E$5*Request!$E16,0),(IF(AND(Request!$S$4="Multi",Request!$R$4="PY"),ROUND(Request!$E16*((1+Request!$M16)^2)/Worksheet!$E$5*Worksheet!$E$5,0),(IF(AND(Request!$S$4&lt;&gt;"Multi",Request!$R$4="FY"),ROUND(((1+Request!$S$4)^(Worksheet!$B$20+1)*Worksheet!$E$9+(1+Request!$S$4)^(Worksheet!$B$20+2)*Worksheet!$E$10)/Worksheet!$E$5*Request!$E16,0),ROUND(Request!$E16*((1+Request!$S$4)^2)/Worksheet!$E$5*Worksheet!$E$5,0))))))),(IF(AND(Request!$S$4="Multi",Request!$R$4="FY"),ROUND(((1+Request!$M16)^(Worksheet!$B$20+2)*Worksheet!$E$9+(1+Request!$M16)^(Worksheet!$B$20+3)*Worksheet!$E$10)/Worksheet!$E$5*Request!$E16,0),(IF(AND(Request!$S$4="Multi",Request!$R$4="PY"),ROUND(Request!$E16*((1+Request!$M16)^2)/Worksheet!$E$5*Worksheet!$E$5,0),(IF(AND(Request!$S$4&lt;&gt;"Multi",Request!$R$4="FY"),ROUND(((1+Request!$S$4)^(Worksheet!$B$20+2)*Worksheet!$E$9+(1+Request!$S$4)^(Worksheet!$B$20+3)*Worksheet!$E$10)/Worksheet!$E$5*Request!$E16,0),ROUND(Request!$E16*((1+Request!$S$4)^2)/Worksheet!$E$5*Worksheet!$E$5,0)))))))))</f>
        <v/>
      </c>
      <c r="G336" s="238"/>
      <c r="H336" s="237" t="str">
        <f>IF(Worksheet!$F$5=0,"",IF($C$4=$D$4,(IF(AND(Request!$S$4="Multi",Request!$R$4="FY"),ROUND(((1+Request!$M16)^(Worksheet!$B$20+2)*Worksheet!$F$9+(1+Request!$M16)^(Worksheet!$B$20+3)*Worksheet!$F$10)/Worksheet!$F$5*Request!$E16,0),(IF(AND(Request!$S$4="Multi",Request!$R$4="PY"),ROUND(Request!$E16*((1+Request!$M16)^3)/Worksheet!$F$5*Worksheet!$F$5,0),(IF(AND(Request!$S$4&lt;&gt;"Multi",Request!$R$4="FY"),ROUND(((1+Request!$S$4)^(Worksheet!$B$20+2)*Worksheet!$F$9+(1+Request!$S$4)^(Worksheet!$B$20+3)*Worksheet!$F$10)/Worksheet!$F$5*Request!$E16,0),ROUND(Request!$E16*((1+Request!$S$4)^3)/Worksheet!$F$5*Worksheet!$F$5,0))))))),(IF(AND(Request!$S$4="Multi",Request!$R$4="FY"),ROUND(((1+Request!$M16)^(Worksheet!$B$20+3)*Worksheet!$F$9+(1+Request!$M16)^(Worksheet!$B$20+4)*Worksheet!$F$10)/Worksheet!$F$5*Request!$E16,0),(IF(AND(Request!$S$4="Multi",Request!$R$4="PY"),ROUND(Request!$E16*((1+Request!$M16)^3)/Worksheet!$F$5*Worksheet!$F$5,0),(IF(AND(Request!$S$4&lt;&gt;"Multi",Request!$R$4="FY"),ROUND(((1+Request!$S$4)^(Worksheet!$B$20+3)*Worksheet!$F$9+(1+Request!$S$4)^(Worksheet!$B$20+4)*Worksheet!$F$10)/Worksheet!$F$5*Request!$E16,0),ROUND(Request!$E16*((1+Request!$S$4)^3)/Worksheet!$F$5*Worksheet!$F$5,0)))))))))</f>
        <v/>
      </c>
      <c r="I336" s="238"/>
      <c r="J336" s="237" t="str">
        <f>IF(Worksheet!$G$5=0,"",IF($C$4=$D$4,(IF(AND(Request!$S$4="Multi",Request!$R$4="FY"),ROUND(((1+Request!$M16)^(Worksheet!$B$20+3)*Worksheet!$G$9+(1+Request!$M16)^(Worksheet!$B$20+4)*Worksheet!$G$10)/Worksheet!$G$5*Request!$E16,0),(IF(AND(Request!$S$4="Multi",Request!$R$4="PY"),ROUND(Request!$E16*((1+Request!$M16)^4)/Worksheet!$G$5*Worksheet!$G$5,0),(IF(AND(Request!$S$4&lt;&gt;"Multi",Request!$R$4="FY"),ROUND(((1+Request!$S$4)^(Worksheet!$B$20+3)*Worksheet!$G$9+(1+Request!$S$4)^(Worksheet!$B$20+4)*Worksheet!$G$10)/Worksheet!$G$5*Request!$E16,0),ROUND(Request!$E16*((1+Request!$S$4)^4)/Worksheet!$G$5*Worksheet!$G$5,0))))))),(IF(AND(Request!$S$4="Multi",Request!$R$4="FY"),ROUND(((1+Request!$M16)^(Worksheet!$B$20+4)*Worksheet!$G$9+(1+Request!$M16)^(Worksheet!$B$20+5)*Worksheet!$G$10)/Worksheet!$G$5*Request!$E16,0),(IF(AND(Request!$S$4="Multi",Request!$R$4="PY"),ROUND(Request!$E16*((1+Request!$M16)^4)/Worksheet!$G$5*Worksheet!$G$5,0),(IF(AND(Request!$S$4&lt;&gt;"Multi",Request!$R$4="FY"),ROUND(((1+Request!$S$4)^(Worksheet!$B$20+4)*Worksheet!$G$9+(1+Request!$S$4)^(Worksheet!$B$20+5)*Worksheet!$G$10)/Worksheet!$G$5*Request!$E16,0),ROUND(Request!$E16*((1+Request!$S$4)^4)/Worksheet!$G$5*Worksheet!$G$5,0)))))))))</f>
        <v/>
      </c>
      <c r="K336" s="238"/>
    </row>
    <row r="337" spans="1:11" x14ac:dyDescent="0.2">
      <c r="A337" s="81" t="e">
        <f>#REF!</f>
        <v>#REF!</v>
      </c>
      <c r="B337" s="237">
        <f>IF(Worksheet!$C$5=0,"",IF(AND(Request!$S$4="Multi",Request!$R$4="FY"),ROUND(((1+Request!$M17)^Worksheet!$B$20*Worksheet!$C$9+(1+Request!$M17)^(Worksheet!$B$20+1)*Worksheet!$C$10)/(Worksheet!$C$5)*Request!$E17,0),(IF(AND(Request!$S$4="Multi",Request!$R$4="PY"),ROUND(Request!$E17/(Worksheet!$C$5)*Worksheet!$C$5,0),(IF(AND(Request!$S$4&lt;&gt;"Multi",Request!$R$4="FY"),ROUND(((1+Request!$S$4)^Worksheet!$B$20*Worksheet!$C$9+(1+Request!$S$4)^(Worksheet!$B$20+1)*Worksheet!$C$10)/Worksheet!$C$5*Request!$E17,0),ROUND(Request!$E17/Worksheet!$C$5*Worksheet!$C$5,0)))))))</f>
        <v>0</v>
      </c>
      <c r="C337" s="238"/>
      <c r="D337" s="237" t="str">
        <f>IF(Worksheet!$D$5=0,"",IF($C$4=$D$4,(IF(AND(Request!$S$4="Multi",Request!$R$4="FY"),ROUND(((1+Request!$M17)^(Worksheet!$B$20)*Worksheet!$D$9+(1+Request!$M17)^(Worksheet!$B$20+1)*Worksheet!$D$10)/Worksheet!$D$5*Request!$E17,0),(IF(AND(Request!$S$4="Multi",Request!$R$4="PY"),ROUND(Request!$E17*(1+Request!$M17)/Worksheet!$D$5*Worksheet!$D$5,0),(IF(AND(Request!$S$4&lt;&gt;"Multi",Request!$R$4="FY"),ROUND(((1+Request!$S$4)^(Worksheet!$B$20)*Worksheet!$D$9+(1+Request!$S$4)^(Worksheet!$B$20+1)*Worksheet!$D$10)/Worksheet!$D$5*Request!$E17,0),ROUND(Request!$E17*(1+Request!$S$4)/Worksheet!$D$5*Worksheet!$D$5,0))))))),(IF(AND(Request!$S$4="Multi",Request!$R$4="FY"),ROUND(((1+Request!$M17)^(Worksheet!$B$20+1)*Worksheet!$D$9+(1+Request!$M17)^(Worksheet!$B$20+2)*Worksheet!$D$10)/Worksheet!$D$5*Request!$E17,0),(IF(AND(Request!$S$4="Multi",Request!$R$4="PY"),ROUND(Request!$E17*(1+Request!$M17)/Worksheet!$D$5*Worksheet!$D$5,0),(IF(AND(Request!$S$4&lt;&gt;"Multi",Request!$R$4="FY"),ROUND(((1+Request!$S$4)^(Worksheet!$B$20+1)*Worksheet!$D$9+(1+Request!$S$4)^(Worksheet!$B$20+2)*Worksheet!$D$10)/Worksheet!$D$5*Request!$E17,0),ROUND(Request!$E17*(1+Request!$S$4)/Worksheet!$D$5*Worksheet!$D$5,0)))))))))</f>
        <v/>
      </c>
      <c r="E337" s="238"/>
      <c r="F337" s="237" t="str">
        <f>IF(Worksheet!$E$5=0,"",IF($C$4=$D$4,(IF(AND(Request!$S$4="Multi",Request!$R$4="FY"),ROUND(((1+Request!$M17)^(Worksheet!$B$20+1)*Worksheet!$E$9+(1+Request!$M17)^(Worksheet!$B$20+3)*Worksheet!$E$10)/Worksheet!$E$5*Request!$E17,0),(IF(AND(Request!$S$4="Multi",Request!$R$4="PY"),ROUND(Request!$E17*((1+Request!$M17)^2)/Worksheet!$E$5*Worksheet!$E$5,0),(IF(AND(Request!$S$4&lt;&gt;"Multi",Request!$R$4="FY"),ROUND(((1+Request!$S$4)^(Worksheet!$B$20+1)*Worksheet!$E$9+(1+Request!$S$4)^(Worksheet!$B$20+2)*Worksheet!$E$10)/Worksheet!$E$5*Request!$E17,0),ROUND(Request!$E17*((1+Request!$S$4)^2)/Worksheet!$E$5*Worksheet!$E$5,0))))))),(IF(AND(Request!$S$4="Multi",Request!$R$4="FY"),ROUND(((1+Request!$M17)^(Worksheet!$B$20+2)*Worksheet!$E$9+(1+Request!$M17)^(Worksheet!$B$20+3)*Worksheet!$E$10)/Worksheet!$E$5*Request!$E17,0),(IF(AND(Request!$S$4="Multi",Request!$R$4="PY"),ROUND(Request!$E17*((1+Request!$M17)^2)/Worksheet!$E$5*Worksheet!$E$5,0),(IF(AND(Request!$S$4&lt;&gt;"Multi",Request!$R$4="FY"),ROUND(((1+Request!$S$4)^(Worksheet!$B$20+2)*Worksheet!$E$9+(1+Request!$S$4)^(Worksheet!$B$20+3)*Worksheet!$E$10)/Worksheet!$E$5*Request!$E17,0),ROUND(Request!$E17*((1+Request!$S$4)^2)/Worksheet!$E$5*Worksheet!$E$5,0)))))))))</f>
        <v/>
      </c>
      <c r="G337" s="238"/>
      <c r="H337" s="237" t="str">
        <f>IF(Worksheet!$F$5=0,"",IF($C$4=$D$4,(IF(AND(Request!$S$4="Multi",Request!$R$4="FY"),ROUND(((1+Request!$M17)^(Worksheet!$B$20+2)*Worksheet!$F$9+(1+Request!$M17)^(Worksheet!$B$20+3)*Worksheet!$F$10)/Worksheet!$F$5*Request!$E17,0),(IF(AND(Request!$S$4="Multi",Request!$R$4="PY"),ROUND(Request!$E17*((1+Request!$M17)^3)/Worksheet!$F$5*Worksheet!$F$5,0),(IF(AND(Request!$S$4&lt;&gt;"Multi",Request!$R$4="FY"),ROUND(((1+Request!$S$4)^(Worksheet!$B$20+2)*Worksheet!$F$9+(1+Request!$S$4)^(Worksheet!$B$20+3)*Worksheet!$F$10)/Worksheet!$F$5*Request!$E17,0),ROUND(Request!$E17*((1+Request!$S$4)^3)/Worksheet!$F$5*Worksheet!$F$5,0))))))),(IF(AND(Request!$S$4="Multi",Request!$R$4="FY"),ROUND(((1+Request!$M17)^(Worksheet!$B$20+3)*Worksheet!$F$9+(1+Request!$M17)^(Worksheet!$B$20+4)*Worksheet!$F$10)/Worksheet!$F$5*Request!$E17,0),(IF(AND(Request!$S$4="Multi",Request!$R$4="PY"),ROUND(Request!$E17*((1+Request!$M17)^3)/Worksheet!$F$5*Worksheet!$F$5,0),(IF(AND(Request!$S$4&lt;&gt;"Multi",Request!$R$4="FY"),ROUND(((1+Request!$S$4)^(Worksheet!$B$20+3)*Worksheet!$F$9+(1+Request!$S$4)^(Worksheet!$B$20+4)*Worksheet!$F$10)/Worksheet!$F$5*Request!$E17,0),ROUND(Request!$E17*((1+Request!$S$4)^3)/Worksheet!$F$5*Worksheet!$F$5,0)))))))))</f>
        <v/>
      </c>
      <c r="I337" s="238"/>
      <c r="J337" s="237" t="str">
        <f>IF(Worksheet!$G$5=0,"",IF($C$4=$D$4,(IF(AND(Request!$S$4="Multi",Request!$R$4="FY"),ROUND(((1+Request!$M17)^(Worksheet!$B$20+3)*Worksheet!$G$9+(1+Request!$M17)^(Worksheet!$B$20+4)*Worksheet!$G$10)/Worksheet!$G$5*Request!$E17,0),(IF(AND(Request!$S$4="Multi",Request!$R$4="PY"),ROUND(Request!$E17*((1+Request!$M17)^4)/Worksheet!$G$5*Worksheet!$G$5,0),(IF(AND(Request!$S$4&lt;&gt;"Multi",Request!$R$4="FY"),ROUND(((1+Request!$S$4)^(Worksheet!$B$20+3)*Worksheet!$G$9+(1+Request!$S$4)^(Worksheet!$B$20+4)*Worksheet!$G$10)/Worksheet!$G$5*Request!$E17,0),ROUND(Request!$E17*((1+Request!$S$4)^4)/Worksheet!$G$5*Worksheet!$G$5,0))))))),(IF(AND(Request!$S$4="Multi",Request!$R$4="FY"),ROUND(((1+Request!$M17)^(Worksheet!$B$20+4)*Worksheet!$G$9+(1+Request!$M17)^(Worksheet!$B$20+5)*Worksheet!$G$10)/Worksheet!$G$5*Request!$E17,0),(IF(AND(Request!$S$4="Multi",Request!$R$4="PY"),ROUND(Request!$E17*((1+Request!$M17)^4)/Worksheet!$G$5*Worksheet!$G$5,0),(IF(AND(Request!$S$4&lt;&gt;"Multi",Request!$R$4="FY"),ROUND(((1+Request!$S$4)^(Worksheet!$B$20+4)*Worksheet!$G$9+(1+Request!$S$4)^(Worksheet!$B$20+5)*Worksheet!$G$10)/Worksheet!$G$5*Request!$E17,0),ROUND(Request!$E17*((1+Request!$S$4)^4)/Worksheet!$G$5*Worksheet!$G$5,0)))))))))</f>
        <v/>
      </c>
      <c r="K337" s="238"/>
    </row>
    <row r="338" spans="1:11" x14ac:dyDescent="0.2">
      <c r="A338" s="81" t="e">
        <f>#REF!</f>
        <v>#REF!</v>
      </c>
      <c r="B338" s="237">
        <f>IF(Worksheet!$C$5=0,"",IF(AND(Request!$S$4="Multi",Request!$R$4="FY"),ROUND(((1+Request!$M18)^Worksheet!$B$20*Worksheet!$C$9+(1+Request!$M18)^(Worksheet!$B$20+1)*Worksheet!$C$10)/(Worksheet!$C$5)*Request!$E18,0),(IF(AND(Request!$S$4="Multi",Request!$R$4="PY"),ROUND(Request!$E18/(Worksheet!$C$5)*Worksheet!$C$5,0),(IF(AND(Request!$S$4&lt;&gt;"Multi",Request!$R$4="FY"),ROUND(((1+Request!$S$4)^Worksheet!$B$20*Worksheet!$C$9+(1+Request!$S$4)^(Worksheet!$B$20+1)*Worksheet!$C$10)/Worksheet!$C$5*Request!$E18,0),ROUND(Request!$E18/Worksheet!$C$5*Worksheet!$C$5,0)))))))</f>
        <v>0</v>
      </c>
      <c r="C338" s="238"/>
      <c r="D338" s="237" t="str">
        <f>IF(Worksheet!$D$5=0,"",IF($C$4=$D$4,(IF(AND(Request!$S$4="Multi",Request!$R$4="FY"),ROUND(((1+Request!$M18)^(Worksheet!$B$20)*Worksheet!$D$9+(1+Request!$M18)^(Worksheet!$B$20+1)*Worksheet!$D$10)/Worksheet!$D$5*Request!$E18,0),(IF(AND(Request!$S$4="Multi",Request!$R$4="PY"),ROUND(Request!$E18*(1+Request!$M18)/Worksheet!$D$5*Worksheet!$D$5,0),(IF(AND(Request!$S$4&lt;&gt;"Multi",Request!$R$4="FY"),ROUND(((1+Request!$S$4)^(Worksheet!$B$20)*Worksheet!$D$9+(1+Request!$S$4)^(Worksheet!$B$20+1)*Worksheet!$D$10)/Worksheet!$D$5*Request!$E18,0),ROUND(Request!$E18*(1+Request!$S$4)/Worksheet!$D$5*Worksheet!$D$5,0))))))),(IF(AND(Request!$S$4="Multi",Request!$R$4="FY"),ROUND(((1+Request!$M18)^(Worksheet!$B$20+1)*Worksheet!$D$9+(1+Request!$M18)^(Worksheet!$B$20+2)*Worksheet!$D$10)/Worksheet!$D$5*Request!$E18,0),(IF(AND(Request!$S$4="Multi",Request!$R$4="PY"),ROUND(Request!$E18*(1+Request!$M18)/Worksheet!$D$5*Worksheet!$D$5,0),(IF(AND(Request!$S$4&lt;&gt;"Multi",Request!$R$4="FY"),ROUND(((1+Request!$S$4)^(Worksheet!$B$20+1)*Worksheet!$D$9+(1+Request!$S$4)^(Worksheet!$B$20+2)*Worksheet!$D$10)/Worksheet!$D$5*Request!$E18,0),ROUND(Request!$E18*(1+Request!$S$4)/Worksheet!$D$5*Worksheet!$D$5,0)))))))))</f>
        <v/>
      </c>
      <c r="E338" s="238"/>
      <c r="F338" s="237" t="str">
        <f>IF(Worksheet!$E$5=0,"",IF($C$4=$D$4,(IF(AND(Request!$S$4="Multi",Request!$R$4="FY"),ROUND(((1+Request!$M18)^(Worksheet!$B$20+1)*Worksheet!$E$9+(1+Request!$M18)^(Worksheet!$B$20+3)*Worksheet!$E$10)/Worksheet!$E$5*Request!$E18,0),(IF(AND(Request!$S$4="Multi",Request!$R$4="PY"),ROUND(Request!$E18*((1+Request!$M18)^2)/Worksheet!$E$5*Worksheet!$E$5,0),(IF(AND(Request!$S$4&lt;&gt;"Multi",Request!$R$4="FY"),ROUND(((1+Request!$S$4)^(Worksheet!$B$20+1)*Worksheet!$E$9+(1+Request!$S$4)^(Worksheet!$B$20+2)*Worksheet!$E$10)/Worksheet!$E$5*Request!$E18,0),ROUND(Request!$E18*((1+Request!$S$4)^2)/Worksheet!$E$5*Worksheet!$E$5,0))))))),(IF(AND(Request!$S$4="Multi",Request!$R$4="FY"),ROUND(((1+Request!$M18)^(Worksheet!$B$20+2)*Worksheet!$E$9+(1+Request!$M18)^(Worksheet!$B$20+3)*Worksheet!$E$10)/Worksheet!$E$5*Request!$E18,0),(IF(AND(Request!$S$4="Multi",Request!$R$4="PY"),ROUND(Request!$E18*((1+Request!$M18)^2)/Worksheet!$E$5*Worksheet!$E$5,0),(IF(AND(Request!$S$4&lt;&gt;"Multi",Request!$R$4="FY"),ROUND(((1+Request!$S$4)^(Worksheet!$B$20+2)*Worksheet!$E$9+(1+Request!$S$4)^(Worksheet!$B$20+3)*Worksheet!$E$10)/Worksheet!$E$5*Request!$E18,0),ROUND(Request!$E18*((1+Request!$S$4)^2)/Worksheet!$E$5*Worksheet!$E$5,0)))))))))</f>
        <v/>
      </c>
      <c r="G338" s="238"/>
      <c r="H338" s="237" t="str">
        <f>IF(Worksheet!$F$5=0,"",IF($C$4=$D$4,(IF(AND(Request!$S$4="Multi",Request!$R$4="FY"),ROUND(((1+Request!$M18)^(Worksheet!$B$20+2)*Worksheet!$F$9+(1+Request!$M18)^(Worksheet!$B$20+3)*Worksheet!$F$10)/Worksheet!$F$5*Request!$E18,0),(IF(AND(Request!$S$4="Multi",Request!$R$4="PY"),ROUND(Request!$E18*((1+Request!$M18)^3)/Worksheet!$F$5*Worksheet!$F$5,0),(IF(AND(Request!$S$4&lt;&gt;"Multi",Request!$R$4="FY"),ROUND(((1+Request!$S$4)^(Worksheet!$B$20+2)*Worksheet!$F$9+(1+Request!$S$4)^(Worksheet!$B$20+3)*Worksheet!$F$10)/Worksheet!$F$5*Request!$E18,0),ROUND(Request!$E18*((1+Request!$S$4)^3)/Worksheet!$F$5*Worksheet!$F$5,0))))))),(IF(AND(Request!$S$4="Multi",Request!$R$4="FY"),ROUND(((1+Request!$M18)^(Worksheet!$B$20+3)*Worksheet!$F$9+(1+Request!$M18)^(Worksheet!$B$20+4)*Worksheet!$F$10)/Worksheet!$F$5*Request!$E18,0),(IF(AND(Request!$S$4="Multi",Request!$R$4="PY"),ROUND(Request!$E18*((1+Request!$M18)^3)/Worksheet!$F$5*Worksheet!$F$5,0),(IF(AND(Request!$S$4&lt;&gt;"Multi",Request!$R$4="FY"),ROUND(((1+Request!$S$4)^(Worksheet!$B$20+3)*Worksheet!$F$9+(1+Request!$S$4)^(Worksheet!$B$20+4)*Worksheet!$F$10)/Worksheet!$F$5*Request!$E18,0),ROUND(Request!$E18*((1+Request!$S$4)^3)/Worksheet!$F$5*Worksheet!$F$5,0)))))))))</f>
        <v/>
      </c>
      <c r="I338" s="238"/>
      <c r="J338" s="237" t="str">
        <f>IF(Worksheet!$G$5=0,"",IF($C$4=$D$4,(IF(AND(Request!$S$4="Multi",Request!$R$4="FY"),ROUND(((1+Request!$M18)^(Worksheet!$B$20+3)*Worksheet!$G$9+(1+Request!$M18)^(Worksheet!$B$20+4)*Worksheet!$G$10)/Worksheet!$G$5*Request!$E18,0),(IF(AND(Request!$S$4="Multi",Request!$R$4="PY"),ROUND(Request!$E18*((1+Request!$M18)^4)/Worksheet!$G$5*Worksheet!$G$5,0),(IF(AND(Request!$S$4&lt;&gt;"Multi",Request!$R$4="FY"),ROUND(((1+Request!$S$4)^(Worksheet!$B$20+3)*Worksheet!$G$9+(1+Request!$S$4)^(Worksheet!$B$20+4)*Worksheet!$G$10)/Worksheet!$G$5*Request!$E18,0),ROUND(Request!$E18*((1+Request!$S$4)^4)/Worksheet!$G$5*Worksheet!$G$5,0))))))),(IF(AND(Request!$S$4="Multi",Request!$R$4="FY"),ROUND(((1+Request!$M18)^(Worksheet!$B$20+4)*Worksheet!$G$9+(1+Request!$M18)^(Worksheet!$B$20+5)*Worksheet!$G$10)/Worksheet!$G$5*Request!$E18,0),(IF(AND(Request!$S$4="Multi",Request!$R$4="PY"),ROUND(Request!$E18*((1+Request!$M18)^4)/Worksheet!$G$5*Worksheet!$G$5,0),(IF(AND(Request!$S$4&lt;&gt;"Multi",Request!$R$4="FY"),ROUND(((1+Request!$S$4)^(Worksheet!$B$20+4)*Worksheet!$G$9+(1+Request!$S$4)^(Worksheet!$B$20+5)*Worksheet!$G$10)/Worksheet!$G$5*Request!$E18,0),ROUND(Request!$E18*((1+Request!$S$4)^4)/Worksheet!$G$5*Worksheet!$G$5,0)))))))))</f>
        <v/>
      </c>
      <c r="K338" s="238"/>
    </row>
    <row r="339" spans="1:11" x14ac:dyDescent="0.2">
      <c r="A339" s="81" t="e">
        <f>#REF!</f>
        <v>#REF!</v>
      </c>
      <c r="B339" s="237">
        <f>IF(Worksheet!$C$5=0,"",IF(AND(Request!$S$4="Multi",Request!$R$4="FY"),ROUND(((1+Request!$M19)^Worksheet!$B$20*Worksheet!$C$9+(1+Request!$M19)^(Worksheet!$B$20+1)*Worksheet!$C$10)/(Worksheet!$C$5)*Request!$E19,0),(IF(AND(Request!$S$4="Multi",Request!$R$4="PY"),ROUND(Request!$E19/(Worksheet!$C$5)*Worksheet!$C$5,0),(IF(AND(Request!$S$4&lt;&gt;"Multi",Request!$R$4="FY"),ROUND(((1+Request!$S$4)^Worksheet!$B$20*Worksheet!$C$9+(1+Request!$S$4)^(Worksheet!$B$20+1)*Worksheet!$C$10)/Worksheet!$C$5*Request!$E19,0),ROUND(Request!$E19/Worksheet!$C$5*Worksheet!$C$5,0)))))))</f>
        <v>0</v>
      </c>
      <c r="C339" s="238"/>
      <c r="D339" s="237" t="str">
        <f>IF(Worksheet!$D$5=0,"",IF($C$4=$D$4,(IF(AND(Request!$S$4="Multi",Request!$R$4="FY"),ROUND(((1+Request!$M19)^(Worksheet!$B$20)*Worksheet!$D$9+(1+Request!$M19)^(Worksheet!$B$20+1)*Worksheet!$D$10)/Worksheet!$D$5*Request!$E19,0),(IF(AND(Request!$S$4="Multi",Request!$R$4="PY"),ROUND(Request!$E19*(1+Request!$M19)/Worksheet!$D$5*Worksheet!$D$5,0),(IF(AND(Request!$S$4&lt;&gt;"Multi",Request!$R$4="FY"),ROUND(((1+Request!$S$4)^(Worksheet!$B$20)*Worksheet!$D$9+(1+Request!$S$4)^(Worksheet!$B$20+1)*Worksheet!$D$10)/Worksheet!$D$5*Request!$E19,0),ROUND(Request!$E19*(1+Request!$S$4)/Worksheet!$D$5*Worksheet!$D$5,0))))))),(IF(AND(Request!$S$4="Multi",Request!$R$4="FY"),ROUND(((1+Request!$M19)^(Worksheet!$B$20+1)*Worksheet!$D$9+(1+Request!$M19)^(Worksheet!$B$20+2)*Worksheet!$D$10)/Worksheet!$D$5*Request!$E19,0),(IF(AND(Request!$S$4="Multi",Request!$R$4="PY"),ROUND(Request!$E19*(1+Request!$M19)/Worksheet!$D$5*Worksheet!$D$5,0),(IF(AND(Request!$S$4&lt;&gt;"Multi",Request!$R$4="FY"),ROUND(((1+Request!$S$4)^(Worksheet!$B$20+1)*Worksheet!$D$9+(1+Request!$S$4)^(Worksheet!$B$20+2)*Worksheet!$D$10)/Worksheet!$D$5*Request!$E19,0),ROUND(Request!$E19*(1+Request!$S$4)/Worksheet!$D$5*Worksheet!$D$5,0)))))))))</f>
        <v/>
      </c>
      <c r="E339" s="238"/>
      <c r="F339" s="237" t="str">
        <f>IF(Worksheet!$E$5=0,"",IF($C$4=$D$4,(IF(AND(Request!$S$4="Multi",Request!$R$4="FY"),ROUND(((1+Request!$M19)^(Worksheet!$B$20+1)*Worksheet!$E$9+(1+Request!$M19)^(Worksheet!$B$20+3)*Worksheet!$E$10)/Worksheet!$E$5*Request!$E19,0),(IF(AND(Request!$S$4="Multi",Request!$R$4="PY"),ROUND(Request!$E19*((1+Request!$M19)^2)/Worksheet!$E$5*Worksheet!$E$5,0),(IF(AND(Request!$S$4&lt;&gt;"Multi",Request!$R$4="FY"),ROUND(((1+Request!$S$4)^(Worksheet!$B$20+1)*Worksheet!$E$9+(1+Request!$S$4)^(Worksheet!$B$20+2)*Worksheet!$E$10)/Worksheet!$E$5*Request!$E19,0),ROUND(Request!$E19*((1+Request!$S$4)^2)/Worksheet!$E$5*Worksheet!$E$5,0))))))),(IF(AND(Request!$S$4="Multi",Request!$R$4="FY"),ROUND(((1+Request!$M19)^(Worksheet!$B$20+2)*Worksheet!$E$9+(1+Request!$M19)^(Worksheet!$B$20+3)*Worksheet!$E$10)/Worksheet!$E$5*Request!$E19,0),(IF(AND(Request!$S$4="Multi",Request!$R$4="PY"),ROUND(Request!$E19*((1+Request!$M19)^2)/Worksheet!$E$5*Worksheet!$E$5,0),(IF(AND(Request!$S$4&lt;&gt;"Multi",Request!$R$4="FY"),ROUND(((1+Request!$S$4)^(Worksheet!$B$20+2)*Worksheet!$E$9+(1+Request!$S$4)^(Worksheet!$B$20+3)*Worksheet!$E$10)/Worksheet!$E$5*Request!$E19,0),ROUND(Request!$E19*((1+Request!$S$4)^2)/Worksheet!$E$5*Worksheet!$E$5,0)))))))))</f>
        <v/>
      </c>
      <c r="G339" s="238"/>
      <c r="H339" s="237" t="str">
        <f>IF(Worksheet!$F$5=0,"",IF($C$4=$D$4,(IF(AND(Request!$S$4="Multi",Request!$R$4="FY"),ROUND(((1+Request!$M19)^(Worksheet!$B$20+2)*Worksheet!$F$9+(1+Request!$M19)^(Worksheet!$B$20+3)*Worksheet!$F$10)/Worksheet!$F$5*Request!$E19,0),(IF(AND(Request!$S$4="Multi",Request!$R$4="PY"),ROUND(Request!$E19*((1+Request!$M19)^3)/Worksheet!$F$5*Worksheet!$F$5,0),(IF(AND(Request!$S$4&lt;&gt;"Multi",Request!$R$4="FY"),ROUND(((1+Request!$S$4)^(Worksheet!$B$20+2)*Worksheet!$F$9+(1+Request!$S$4)^(Worksheet!$B$20+3)*Worksheet!$F$10)/Worksheet!$F$5*Request!$E19,0),ROUND(Request!$E19*((1+Request!$S$4)^3)/Worksheet!$F$5*Worksheet!$F$5,0))))))),(IF(AND(Request!$S$4="Multi",Request!$R$4="FY"),ROUND(((1+Request!$M19)^(Worksheet!$B$20+3)*Worksheet!$F$9+(1+Request!$M19)^(Worksheet!$B$20+4)*Worksheet!$F$10)/Worksheet!$F$5*Request!$E19,0),(IF(AND(Request!$S$4="Multi",Request!$R$4="PY"),ROUND(Request!$E19*((1+Request!$M19)^3)/Worksheet!$F$5*Worksheet!$F$5,0),(IF(AND(Request!$S$4&lt;&gt;"Multi",Request!$R$4="FY"),ROUND(((1+Request!$S$4)^(Worksheet!$B$20+3)*Worksheet!$F$9+(1+Request!$S$4)^(Worksheet!$B$20+4)*Worksheet!$F$10)/Worksheet!$F$5*Request!$E19,0),ROUND(Request!$E19*((1+Request!$S$4)^3)/Worksheet!$F$5*Worksheet!$F$5,0)))))))))</f>
        <v/>
      </c>
      <c r="I339" s="238"/>
      <c r="J339" s="237" t="str">
        <f>IF(Worksheet!$G$5=0,"",IF($C$4=$D$4,(IF(AND(Request!$S$4="Multi",Request!$R$4="FY"),ROUND(((1+Request!$M19)^(Worksheet!$B$20+3)*Worksheet!$G$9+(1+Request!$M19)^(Worksheet!$B$20+4)*Worksheet!$G$10)/Worksheet!$G$5*Request!$E19,0),(IF(AND(Request!$S$4="Multi",Request!$R$4="PY"),ROUND(Request!$E19*((1+Request!$M19)^4)/Worksheet!$G$5*Worksheet!$G$5,0),(IF(AND(Request!$S$4&lt;&gt;"Multi",Request!$R$4="FY"),ROUND(((1+Request!$S$4)^(Worksheet!$B$20+3)*Worksheet!$G$9+(1+Request!$S$4)^(Worksheet!$B$20+4)*Worksheet!$G$10)/Worksheet!$G$5*Request!$E19,0),ROUND(Request!$E19*((1+Request!$S$4)^4)/Worksheet!$G$5*Worksheet!$G$5,0))))))),(IF(AND(Request!$S$4="Multi",Request!$R$4="FY"),ROUND(((1+Request!$M19)^(Worksheet!$B$20+4)*Worksheet!$G$9+(1+Request!$M19)^(Worksheet!$B$20+5)*Worksheet!$G$10)/Worksheet!$G$5*Request!$E19,0),(IF(AND(Request!$S$4="Multi",Request!$R$4="PY"),ROUND(Request!$E19*((1+Request!$M19)^4)/Worksheet!$G$5*Worksheet!$G$5,0),(IF(AND(Request!$S$4&lt;&gt;"Multi",Request!$R$4="FY"),ROUND(((1+Request!$S$4)^(Worksheet!$B$20+4)*Worksheet!$G$9+(1+Request!$S$4)^(Worksheet!$B$20+5)*Worksheet!$G$10)/Worksheet!$G$5*Request!$E19,0),ROUND(Request!$E19*((1+Request!$S$4)^4)/Worksheet!$G$5*Worksheet!$G$5,0)))))))))</f>
        <v/>
      </c>
      <c r="K339" s="238"/>
    </row>
    <row r="340" spans="1:11" x14ac:dyDescent="0.2">
      <c r="A340" s="81" t="e">
        <f>#REF!</f>
        <v>#REF!</v>
      </c>
      <c r="B340" s="237">
        <f>IF(Worksheet!$C$5=0,"",IF(AND(Request!$S$4="Multi",Request!$R$4="FY"),ROUND(((1+Request!$M20)^Worksheet!$B$20*Worksheet!$C$9+(1+Request!$M20)^(Worksheet!$B$20+1)*Worksheet!$C$10)/(Worksheet!$C$5)*Request!$E20,0),(IF(AND(Request!$S$4="Multi",Request!$R$4="PY"),ROUND(Request!$E20/(Worksheet!$C$5)*Worksheet!$C$5,0),(IF(AND(Request!$S$4&lt;&gt;"Multi",Request!$R$4="FY"),ROUND(((1+Request!$S$4)^Worksheet!$B$20*Worksheet!$C$9+(1+Request!$S$4)^(Worksheet!$B$20+1)*Worksheet!$C$10)/Worksheet!$C$5*Request!$E20,0),ROUND(Request!$E20/Worksheet!$C$5*Worksheet!$C$5,0)))))))</f>
        <v>0</v>
      </c>
      <c r="C340" s="238"/>
      <c r="D340" s="237" t="str">
        <f>IF(Worksheet!$D$5=0,"",IF($C$4=$D$4,(IF(AND(Request!$S$4="Multi",Request!$R$4="FY"),ROUND(((1+Request!$M20)^(Worksheet!$B$20)*Worksheet!$D$9+(1+Request!$M20)^(Worksheet!$B$20+1)*Worksheet!$D$10)/Worksheet!$D$5*Request!$E20,0),(IF(AND(Request!$S$4="Multi",Request!$R$4="PY"),ROUND(Request!$E20*(1+Request!$M20)/Worksheet!$D$5*Worksheet!$D$5,0),(IF(AND(Request!$S$4&lt;&gt;"Multi",Request!$R$4="FY"),ROUND(((1+Request!$S$4)^(Worksheet!$B$20)*Worksheet!$D$9+(1+Request!$S$4)^(Worksheet!$B$20+1)*Worksheet!$D$10)/Worksheet!$D$5*Request!$E20,0),ROUND(Request!$E20*(1+Request!$S$4)/Worksheet!$D$5*Worksheet!$D$5,0))))))),(IF(AND(Request!$S$4="Multi",Request!$R$4="FY"),ROUND(((1+Request!$M20)^(Worksheet!$B$20+1)*Worksheet!$D$9+(1+Request!$M20)^(Worksheet!$B$20+2)*Worksheet!$D$10)/Worksheet!$D$5*Request!$E20,0),(IF(AND(Request!$S$4="Multi",Request!$R$4="PY"),ROUND(Request!$E20*(1+Request!$M20)/Worksheet!$D$5*Worksheet!$D$5,0),(IF(AND(Request!$S$4&lt;&gt;"Multi",Request!$R$4="FY"),ROUND(((1+Request!$S$4)^(Worksheet!$B$20+1)*Worksheet!$D$9+(1+Request!$S$4)^(Worksheet!$B$20+2)*Worksheet!$D$10)/Worksheet!$D$5*Request!$E20,0),ROUND(Request!$E20*(1+Request!$S$4)/Worksheet!$D$5*Worksheet!$D$5,0)))))))))</f>
        <v/>
      </c>
      <c r="E340" s="238"/>
      <c r="F340" s="237" t="str">
        <f>IF(Worksheet!$E$5=0,"",IF($C$4=$D$4,(IF(AND(Request!$S$4="Multi",Request!$R$4="FY"),ROUND(((1+Request!$M20)^(Worksheet!$B$20+1)*Worksheet!$E$9+(1+Request!$M20)^(Worksheet!$B$20+3)*Worksheet!$E$10)/Worksheet!$E$5*Request!$E20,0),(IF(AND(Request!$S$4="Multi",Request!$R$4="PY"),ROUND(Request!$E20*((1+Request!$M20)^2)/Worksheet!$E$5*Worksheet!$E$5,0),(IF(AND(Request!$S$4&lt;&gt;"Multi",Request!$R$4="FY"),ROUND(((1+Request!$S$4)^(Worksheet!$B$20+1)*Worksheet!$E$9+(1+Request!$S$4)^(Worksheet!$B$20+2)*Worksheet!$E$10)/Worksheet!$E$5*Request!$E20,0),ROUND(Request!$E20*((1+Request!$S$4)^2)/Worksheet!$E$5*Worksheet!$E$5,0))))))),(IF(AND(Request!$S$4="Multi",Request!$R$4="FY"),ROUND(((1+Request!$M20)^(Worksheet!$B$20+2)*Worksheet!$E$9+(1+Request!$M20)^(Worksheet!$B$20+3)*Worksheet!$E$10)/Worksheet!$E$5*Request!$E20,0),(IF(AND(Request!$S$4="Multi",Request!$R$4="PY"),ROUND(Request!$E20*((1+Request!$M20)^2)/Worksheet!$E$5*Worksheet!$E$5,0),(IF(AND(Request!$S$4&lt;&gt;"Multi",Request!$R$4="FY"),ROUND(((1+Request!$S$4)^(Worksheet!$B$20+2)*Worksheet!$E$9+(1+Request!$S$4)^(Worksheet!$B$20+3)*Worksheet!$E$10)/Worksheet!$E$5*Request!$E20,0),ROUND(Request!$E20*((1+Request!$S$4)^2)/Worksheet!$E$5*Worksheet!$E$5,0)))))))))</f>
        <v/>
      </c>
      <c r="G340" s="238"/>
      <c r="H340" s="237" t="str">
        <f>IF(Worksheet!$F$5=0,"",IF($C$4=$D$4,(IF(AND(Request!$S$4="Multi",Request!$R$4="FY"),ROUND(((1+Request!$M20)^(Worksheet!$B$20+2)*Worksheet!$F$9+(1+Request!$M20)^(Worksheet!$B$20+3)*Worksheet!$F$10)/Worksheet!$F$5*Request!$E20,0),(IF(AND(Request!$S$4="Multi",Request!$R$4="PY"),ROUND(Request!$E20*((1+Request!$M20)^3)/Worksheet!$F$5*Worksheet!$F$5,0),(IF(AND(Request!$S$4&lt;&gt;"Multi",Request!$R$4="FY"),ROUND(((1+Request!$S$4)^(Worksheet!$B$20+2)*Worksheet!$F$9+(1+Request!$S$4)^(Worksheet!$B$20+3)*Worksheet!$F$10)/Worksheet!$F$5*Request!$E20,0),ROUND(Request!$E20*((1+Request!$S$4)^3)/Worksheet!$F$5*Worksheet!$F$5,0))))))),(IF(AND(Request!$S$4="Multi",Request!$R$4="FY"),ROUND(((1+Request!$M20)^(Worksheet!$B$20+3)*Worksheet!$F$9+(1+Request!$M20)^(Worksheet!$B$20+4)*Worksheet!$F$10)/Worksheet!$F$5*Request!$E20,0),(IF(AND(Request!$S$4="Multi",Request!$R$4="PY"),ROUND(Request!$E20*((1+Request!$M20)^3)/Worksheet!$F$5*Worksheet!$F$5,0),(IF(AND(Request!$S$4&lt;&gt;"Multi",Request!$R$4="FY"),ROUND(((1+Request!$S$4)^(Worksheet!$B$20+3)*Worksheet!$F$9+(1+Request!$S$4)^(Worksheet!$B$20+4)*Worksheet!$F$10)/Worksheet!$F$5*Request!$E20,0),ROUND(Request!$E20*((1+Request!$S$4)^3)/Worksheet!$F$5*Worksheet!$F$5,0)))))))))</f>
        <v/>
      </c>
      <c r="I340" s="238"/>
      <c r="J340" s="237" t="str">
        <f>IF(Worksheet!$G$5=0,"",IF($C$4=$D$4,(IF(AND(Request!$S$4="Multi",Request!$R$4="FY"),ROUND(((1+Request!$M20)^(Worksheet!$B$20+3)*Worksheet!$G$9+(1+Request!$M20)^(Worksheet!$B$20+4)*Worksheet!$G$10)/Worksheet!$G$5*Request!$E20,0),(IF(AND(Request!$S$4="Multi",Request!$R$4="PY"),ROUND(Request!$E20*((1+Request!$M20)^4)/Worksheet!$G$5*Worksheet!$G$5,0),(IF(AND(Request!$S$4&lt;&gt;"Multi",Request!$R$4="FY"),ROUND(((1+Request!$S$4)^(Worksheet!$B$20+3)*Worksheet!$G$9+(1+Request!$S$4)^(Worksheet!$B$20+4)*Worksheet!$G$10)/Worksheet!$G$5*Request!$E20,0),ROUND(Request!$E20*((1+Request!$S$4)^4)/Worksheet!$G$5*Worksheet!$G$5,0))))))),(IF(AND(Request!$S$4="Multi",Request!$R$4="FY"),ROUND(((1+Request!$M20)^(Worksheet!$B$20+4)*Worksheet!$G$9+(1+Request!$M20)^(Worksheet!$B$20+5)*Worksheet!$G$10)/Worksheet!$G$5*Request!$E20,0),(IF(AND(Request!$S$4="Multi",Request!$R$4="PY"),ROUND(Request!$E20*((1+Request!$M20)^4)/Worksheet!$G$5*Worksheet!$G$5,0),(IF(AND(Request!$S$4&lt;&gt;"Multi",Request!$R$4="FY"),ROUND(((1+Request!$S$4)^(Worksheet!$B$20+4)*Worksheet!$G$9+(1+Request!$S$4)^(Worksheet!$B$20+5)*Worksheet!$G$10)/Worksheet!$G$5*Request!$E20,0),ROUND(Request!$E20*((1+Request!$S$4)^4)/Worksheet!$G$5*Worksheet!$G$5,0)))))))))</f>
        <v/>
      </c>
      <c r="K340" s="238"/>
    </row>
    <row r="341" spans="1:11" x14ac:dyDescent="0.2">
      <c r="A341" s="81" t="e">
        <f>#REF!</f>
        <v>#REF!</v>
      </c>
      <c r="B341" s="237">
        <f>IF(Worksheet!$C$5=0,"",IF(AND(Request!$S$4="Multi",Request!$R$4="FY"),ROUND(((1+Request!$M21)^Worksheet!$B$20*Worksheet!$C$9+(1+Request!$M21)^(Worksheet!$B$20+1)*Worksheet!$C$10)/(Worksheet!$C$5)*Request!$E21,0),(IF(AND(Request!$S$4="Multi",Request!$R$4="PY"),ROUND(Request!$E21/(Worksheet!$C$5)*Worksheet!$C$5,0),(IF(AND(Request!$S$4&lt;&gt;"Multi",Request!$R$4="FY"),ROUND(((1+Request!$S$4)^Worksheet!$B$20*Worksheet!$C$9+(1+Request!$S$4)^(Worksheet!$B$20+1)*Worksheet!$C$10)/Worksheet!$C$5*Request!$E21,0),ROUND(Request!$E21/Worksheet!$C$5*Worksheet!$C$5,0)))))))</f>
        <v>0</v>
      </c>
      <c r="C341" s="238"/>
      <c r="D341" s="237" t="str">
        <f>IF(Worksheet!$D$5=0,"",IF($C$4=$D$4,(IF(AND(Request!$S$4="Multi",Request!$R$4="FY"),ROUND(((1+Request!$M21)^(Worksheet!$B$20)*Worksheet!$D$9+(1+Request!$M21)^(Worksheet!$B$20+1)*Worksheet!$D$10)/Worksheet!$D$5*Request!$E21,0),(IF(AND(Request!$S$4="Multi",Request!$R$4="PY"),ROUND(Request!$E21*(1+Request!$M21)/Worksheet!$D$5*Worksheet!$D$5,0),(IF(AND(Request!$S$4&lt;&gt;"Multi",Request!$R$4="FY"),ROUND(((1+Request!$S$4)^(Worksheet!$B$20)*Worksheet!$D$9+(1+Request!$S$4)^(Worksheet!$B$20+1)*Worksheet!$D$10)/Worksheet!$D$5*Request!$E21,0),ROUND(Request!$E21*(1+Request!$S$4)/Worksheet!$D$5*Worksheet!$D$5,0))))))),(IF(AND(Request!$S$4="Multi",Request!$R$4="FY"),ROUND(((1+Request!$M21)^(Worksheet!$B$20+1)*Worksheet!$D$9+(1+Request!$M21)^(Worksheet!$B$20+2)*Worksheet!$D$10)/Worksheet!$D$5*Request!$E21,0),(IF(AND(Request!$S$4="Multi",Request!$R$4="PY"),ROUND(Request!$E21*(1+Request!$M21)/Worksheet!$D$5*Worksheet!$D$5,0),(IF(AND(Request!$S$4&lt;&gt;"Multi",Request!$R$4="FY"),ROUND(((1+Request!$S$4)^(Worksheet!$B$20+1)*Worksheet!$D$9+(1+Request!$S$4)^(Worksheet!$B$20+2)*Worksheet!$D$10)/Worksheet!$D$5*Request!$E21,0),ROUND(Request!$E21*(1+Request!$S$4)/Worksheet!$D$5*Worksheet!$D$5,0)))))))))</f>
        <v/>
      </c>
      <c r="E341" s="238"/>
      <c r="F341" s="237" t="str">
        <f>IF(Worksheet!$E$5=0,"",IF($C$4=$D$4,(IF(AND(Request!$S$4="Multi",Request!$R$4="FY"),ROUND(((1+Request!$M21)^(Worksheet!$B$20+1)*Worksheet!$E$9+(1+Request!$M21)^(Worksheet!$B$20+3)*Worksheet!$E$10)/Worksheet!$E$5*Request!$E21,0),(IF(AND(Request!$S$4="Multi",Request!$R$4="PY"),ROUND(Request!$E21*((1+Request!$M21)^2)/Worksheet!$E$5*Worksheet!$E$5,0),(IF(AND(Request!$S$4&lt;&gt;"Multi",Request!$R$4="FY"),ROUND(((1+Request!$S$4)^(Worksheet!$B$20+1)*Worksheet!$E$9+(1+Request!$S$4)^(Worksheet!$B$20+2)*Worksheet!$E$10)/Worksheet!$E$5*Request!$E21,0),ROUND(Request!$E21*((1+Request!$S$4)^2)/Worksheet!$E$5*Worksheet!$E$5,0))))))),(IF(AND(Request!$S$4="Multi",Request!$R$4="FY"),ROUND(((1+Request!$M21)^(Worksheet!$B$20+2)*Worksheet!$E$9+(1+Request!$M21)^(Worksheet!$B$20+3)*Worksheet!$E$10)/Worksheet!$E$5*Request!$E21,0),(IF(AND(Request!$S$4="Multi",Request!$R$4="PY"),ROUND(Request!$E21*((1+Request!$M21)^2)/Worksheet!$E$5*Worksheet!$E$5,0),(IF(AND(Request!$S$4&lt;&gt;"Multi",Request!$R$4="FY"),ROUND(((1+Request!$S$4)^(Worksheet!$B$20+2)*Worksheet!$E$9+(1+Request!$S$4)^(Worksheet!$B$20+3)*Worksheet!$E$10)/Worksheet!$E$5*Request!$E21,0),ROUND(Request!$E21*((1+Request!$S$4)^2)/Worksheet!$E$5*Worksheet!$E$5,0)))))))))</f>
        <v/>
      </c>
      <c r="G341" s="238"/>
      <c r="H341" s="237" t="str">
        <f>IF(Worksheet!$F$5=0,"",IF($C$4=$D$4,(IF(AND(Request!$S$4="Multi",Request!$R$4="FY"),ROUND(((1+Request!$M21)^(Worksheet!$B$20+2)*Worksheet!$F$9+(1+Request!$M21)^(Worksheet!$B$20+3)*Worksheet!$F$10)/Worksheet!$F$5*Request!$E21,0),(IF(AND(Request!$S$4="Multi",Request!$R$4="PY"),ROUND(Request!$E21*((1+Request!$M21)^3)/Worksheet!$F$5*Worksheet!$F$5,0),(IF(AND(Request!$S$4&lt;&gt;"Multi",Request!$R$4="FY"),ROUND(((1+Request!$S$4)^(Worksheet!$B$20+2)*Worksheet!$F$9+(1+Request!$S$4)^(Worksheet!$B$20+3)*Worksheet!$F$10)/Worksheet!$F$5*Request!$E21,0),ROUND(Request!$E21*((1+Request!$S$4)^3)/Worksheet!$F$5*Worksheet!$F$5,0))))))),(IF(AND(Request!$S$4="Multi",Request!$R$4="FY"),ROUND(((1+Request!$M21)^(Worksheet!$B$20+3)*Worksheet!$F$9+(1+Request!$M21)^(Worksheet!$B$20+4)*Worksheet!$F$10)/Worksheet!$F$5*Request!$E21,0),(IF(AND(Request!$S$4="Multi",Request!$R$4="PY"),ROUND(Request!$E21*((1+Request!$M21)^3)/Worksheet!$F$5*Worksheet!$F$5,0),(IF(AND(Request!$S$4&lt;&gt;"Multi",Request!$R$4="FY"),ROUND(((1+Request!$S$4)^(Worksheet!$B$20+3)*Worksheet!$F$9+(1+Request!$S$4)^(Worksheet!$B$20+4)*Worksheet!$F$10)/Worksheet!$F$5*Request!$E21,0),ROUND(Request!$E21*((1+Request!$S$4)^3)/Worksheet!$F$5*Worksheet!$F$5,0)))))))))</f>
        <v/>
      </c>
      <c r="I341" s="238"/>
      <c r="J341" s="237" t="str">
        <f>IF(Worksheet!$G$5=0,"",IF($C$4=$D$4,(IF(AND(Request!$S$4="Multi",Request!$R$4="FY"),ROUND(((1+Request!$M21)^(Worksheet!$B$20+3)*Worksheet!$G$9+(1+Request!$M21)^(Worksheet!$B$20+4)*Worksheet!$G$10)/Worksheet!$G$5*Request!$E21,0),(IF(AND(Request!$S$4="Multi",Request!$R$4="PY"),ROUND(Request!$E21*((1+Request!$M21)^4)/Worksheet!$G$5*Worksheet!$G$5,0),(IF(AND(Request!$S$4&lt;&gt;"Multi",Request!$R$4="FY"),ROUND(((1+Request!$S$4)^(Worksheet!$B$20+3)*Worksheet!$G$9+(1+Request!$S$4)^(Worksheet!$B$20+4)*Worksheet!$G$10)/Worksheet!$G$5*Request!$E21,0),ROUND(Request!$E21*((1+Request!$S$4)^4)/Worksheet!$G$5*Worksheet!$G$5,0))))))),(IF(AND(Request!$S$4="Multi",Request!$R$4="FY"),ROUND(((1+Request!$M21)^(Worksheet!$B$20+4)*Worksheet!$G$9+(1+Request!$M21)^(Worksheet!$B$20+5)*Worksheet!$G$10)/Worksheet!$G$5*Request!$E21,0),(IF(AND(Request!$S$4="Multi",Request!$R$4="PY"),ROUND(Request!$E21*((1+Request!$M21)^4)/Worksheet!$G$5*Worksheet!$G$5,0),(IF(AND(Request!$S$4&lt;&gt;"Multi",Request!$R$4="FY"),ROUND(((1+Request!$S$4)^(Worksheet!$B$20+4)*Worksheet!$G$9+(1+Request!$S$4)^(Worksheet!$B$20+5)*Worksheet!$G$10)/Worksheet!$G$5*Request!$E21,0),ROUND(Request!$E21*((1+Request!$S$4)^4)/Worksheet!$G$5*Worksheet!$G$5,0)))))))))</f>
        <v/>
      </c>
      <c r="K341" s="238"/>
    </row>
    <row r="342" spans="1:11" x14ac:dyDescent="0.2">
      <c r="A342" s="81" t="e">
        <f>#REF!</f>
        <v>#REF!</v>
      </c>
      <c r="B342" s="237">
        <f>IF(Worksheet!$C$5=0,"",IF(AND(Request!$S$4="Multi",Request!$R$4="FY"),ROUND(((1+Request!$M22)^Worksheet!$B$20*Worksheet!$C$9+(1+Request!$M22)^(Worksheet!$B$20+1)*Worksheet!$C$10)/(Worksheet!$C$5)*Request!$E22,0),(IF(AND(Request!$S$4="Multi",Request!$R$4="PY"),ROUND(Request!$E22/(Worksheet!$C$5)*Worksheet!$C$5,0),(IF(AND(Request!$S$4&lt;&gt;"Multi",Request!$R$4="FY"),ROUND(((1+Request!$S$4)^Worksheet!$B$20*Worksheet!$C$9+(1+Request!$S$4)^(Worksheet!$B$20+1)*Worksheet!$C$10)/Worksheet!$C$5*Request!$E22,0),ROUND(Request!$E22/Worksheet!$C$5*Worksheet!$C$5,0)))))))</f>
        <v>0</v>
      </c>
      <c r="C342" s="238"/>
      <c r="D342" s="237" t="str">
        <f>IF(Worksheet!$D$5=0,"",IF($C$4=$D$4,(IF(AND(Request!$S$4="Multi",Request!$R$4="FY"),ROUND(((1+Request!$M22)^(Worksheet!$B$20)*Worksheet!$D$9+(1+Request!$M22)^(Worksheet!$B$20+1)*Worksheet!$D$10)/Worksheet!$D$5*Request!$E22,0),(IF(AND(Request!$S$4="Multi",Request!$R$4="PY"),ROUND(Request!$E22*(1+Request!$M22)/Worksheet!$D$5*Worksheet!$D$5,0),(IF(AND(Request!$S$4&lt;&gt;"Multi",Request!$R$4="FY"),ROUND(((1+Request!$S$4)^(Worksheet!$B$20)*Worksheet!$D$9+(1+Request!$S$4)^(Worksheet!$B$20+1)*Worksheet!$D$10)/Worksheet!$D$5*Request!$E22,0),ROUND(Request!$E22*(1+Request!$S$4)/Worksheet!$D$5*Worksheet!$D$5,0))))))),(IF(AND(Request!$S$4="Multi",Request!$R$4="FY"),ROUND(((1+Request!$M22)^(Worksheet!$B$20+1)*Worksheet!$D$9+(1+Request!$M22)^(Worksheet!$B$20+2)*Worksheet!$D$10)/Worksheet!$D$5*Request!$E22,0),(IF(AND(Request!$S$4="Multi",Request!$R$4="PY"),ROUND(Request!$E22*(1+Request!$M22)/Worksheet!$D$5*Worksheet!$D$5,0),(IF(AND(Request!$S$4&lt;&gt;"Multi",Request!$R$4="FY"),ROUND(((1+Request!$S$4)^(Worksheet!$B$20+1)*Worksheet!$D$9+(1+Request!$S$4)^(Worksheet!$B$20+2)*Worksheet!$D$10)/Worksheet!$D$5*Request!$E22,0),ROUND(Request!$E22*(1+Request!$S$4)/Worksheet!$D$5*Worksheet!$D$5,0)))))))))</f>
        <v/>
      </c>
      <c r="E342" s="238"/>
      <c r="F342" s="237" t="str">
        <f>IF(Worksheet!$E$5=0,"",IF($C$4=$D$4,(IF(AND(Request!$S$4="Multi",Request!$R$4="FY"),ROUND(((1+Request!$M22)^(Worksheet!$B$20+1)*Worksheet!$E$9+(1+Request!$M22)^(Worksheet!$B$20+3)*Worksheet!$E$10)/Worksheet!$E$5*Request!$E22,0),(IF(AND(Request!$S$4="Multi",Request!$R$4="PY"),ROUND(Request!$E22*((1+Request!$M22)^2)/Worksheet!$E$5*Worksheet!$E$5,0),(IF(AND(Request!$S$4&lt;&gt;"Multi",Request!$R$4="FY"),ROUND(((1+Request!$S$4)^(Worksheet!$B$20+1)*Worksheet!$E$9+(1+Request!$S$4)^(Worksheet!$B$20+2)*Worksheet!$E$10)/Worksheet!$E$5*Request!$E22,0),ROUND(Request!$E22*((1+Request!$S$4)^2)/Worksheet!$E$5*Worksheet!$E$5,0))))))),(IF(AND(Request!$S$4="Multi",Request!$R$4="FY"),ROUND(((1+Request!$M22)^(Worksheet!$B$20+2)*Worksheet!$E$9+(1+Request!$M22)^(Worksheet!$B$20+3)*Worksheet!$E$10)/Worksheet!$E$5*Request!$E22,0),(IF(AND(Request!$S$4="Multi",Request!$R$4="PY"),ROUND(Request!$E22*((1+Request!$M22)^2)/Worksheet!$E$5*Worksheet!$E$5,0),(IF(AND(Request!$S$4&lt;&gt;"Multi",Request!$R$4="FY"),ROUND(((1+Request!$S$4)^(Worksheet!$B$20+2)*Worksheet!$E$9+(1+Request!$S$4)^(Worksheet!$B$20+3)*Worksheet!$E$10)/Worksheet!$E$5*Request!$E22,0),ROUND(Request!$E22*((1+Request!$S$4)^2)/Worksheet!$E$5*Worksheet!$E$5,0)))))))))</f>
        <v/>
      </c>
      <c r="G342" s="238"/>
      <c r="H342" s="237" t="str">
        <f>IF(Worksheet!$F$5=0,"",IF($C$4=$D$4,(IF(AND(Request!$S$4="Multi",Request!$R$4="FY"),ROUND(((1+Request!$M22)^(Worksheet!$B$20+2)*Worksheet!$F$9+(1+Request!$M22)^(Worksheet!$B$20+3)*Worksheet!$F$10)/Worksheet!$F$5*Request!$E22,0),(IF(AND(Request!$S$4="Multi",Request!$R$4="PY"),ROUND(Request!$E22*((1+Request!$M22)^3)/Worksheet!$F$5*Worksheet!$F$5,0),(IF(AND(Request!$S$4&lt;&gt;"Multi",Request!$R$4="FY"),ROUND(((1+Request!$S$4)^(Worksheet!$B$20+2)*Worksheet!$F$9+(1+Request!$S$4)^(Worksheet!$B$20+3)*Worksheet!$F$10)/Worksheet!$F$5*Request!$E22,0),ROUND(Request!$E22*((1+Request!$S$4)^3)/Worksheet!$F$5*Worksheet!$F$5,0))))))),(IF(AND(Request!$S$4="Multi",Request!$R$4="FY"),ROUND(((1+Request!$M22)^(Worksheet!$B$20+3)*Worksheet!$F$9+(1+Request!$M22)^(Worksheet!$B$20+4)*Worksheet!$F$10)/Worksheet!$F$5*Request!$E22,0),(IF(AND(Request!$S$4="Multi",Request!$R$4="PY"),ROUND(Request!$E22*((1+Request!$M22)^3)/Worksheet!$F$5*Worksheet!$F$5,0),(IF(AND(Request!$S$4&lt;&gt;"Multi",Request!$R$4="FY"),ROUND(((1+Request!$S$4)^(Worksheet!$B$20+3)*Worksheet!$F$9+(1+Request!$S$4)^(Worksheet!$B$20+4)*Worksheet!$F$10)/Worksheet!$F$5*Request!$E22,0),ROUND(Request!$E22*((1+Request!$S$4)^3)/Worksheet!$F$5*Worksheet!$F$5,0)))))))))</f>
        <v/>
      </c>
      <c r="I342" s="238"/>
      <c r="J342" s="237" t="str">
        <f>IF(Worksheet!$G$5=0,"",IF($C$4=$D$4,(IF(AND(Request!$S$4="Multi",Request!$R$4="FY"),ROUND(((1+Request!$M22)^(Worksheet!$B$20+3)*Worksheet!$G$9+(1+Request!$M22)^(Worksheet!$B$20+4)*Worksheet!$G$10)/Worksheet!$G$5*Request!$E22,0),(IF(AND(Request!$S$4="Multi",Request!$R$4="PY"),ROUND(Request!$E22*((1+Request!$M22)^4)/Worksheet!$G$5*Worksheet!$G$5,0),(IF(AND(Request!$S$4&lt;&gt;"Multi",Request!$R$4="FY"),ROUND(((1+Request!$S$4)^(Worksheet!$B$20+3)*Worksheet!$G$9+(1+Request!$S$4)^(Worksheet!$B$20+4)*Worksheet!$G$10)/Worksheet!$G$5*Request!$E22,0),ROUND(Request!$E22*((1+Request!$S$4)^4)/Worksheet!$G$5*Worksheet!$G$5,0))))))),(IF(AND(Request!$S$4="Multi",Request!$R$4="FY"),ROUND(((1+Request!$M22)^(Worksheet!$B$20+4)*Worksheet!$G$9+(1+Request!$M22)^(Worksheet!$B$20+5)*Worksheet!$G$10)/Worksheet!$G$5*Request!$E22,0),(IF(AND(Request!$S$4="Multi",Request!$R$4="PY"),ROUND(Request!$E22*((1+Request!$M22)^4)/Worksheet!$G$5*Worksheet!$G$5,0),(IF(AND(Request!$S$4&lt;&gt;"Multi",Request!$R$4="FY"),ROUND(((1+Request!$S$4)^(Worksheet!$B$20+4)*Worksheet!$G$9+(1+Request!$S$4)^(Worksheet!$B$20+5)*Worksheet!$G$10)/Worksheet!$G$5*Request!$E22,0),ROUND(Request!$E22*((1+Request!$S$4)^4)/Worksheet!$G$5*Worksheet!$G$5,0)))))))))</f>
        <v/>
      </c>
      <c r="K342" s="238"/>
    </row>
    <row r="343" spans="1:11" x14ac:dyDescent="0.2">
      <c r="A343" s="81" t="e">
        <f>#REF!</f>
        <v>#REF!</v>
      </c>
      <c r="B343" s="237">
        <f>IF(Worksheet!$C$5=0,"",IF(AND(Request!$S$4="Multi",Request!$R$4="FY"),ROUND(((1+Request!$M23)^Worksheet!$B$20*Worksheet!$C$9+(1+Request!$M23)^(Worksheet!$B$20+1)*Worksheet!$C$10)/(Worksheet!$C$5)*Request!$E23,0),(IF(AND(Request!$S$4="Multi",Request!$R$4="PY"),ROUND(Request!$E23/(Worksheet!$C$5)*Worksheet!$C$5,0),(IF(AND(Request!$S$4&lt;&gt;"Multi",Request!$R$4="FY"),ROUND(((1+Request!$S$4)^Worksheet!$B$20*Worksheet!$C$9+(1+Request!$S$4)^(Worksheet!$B$20+1)*Worksheet!$C$10)/Worksheet!$C$5*Request!$E23,0),ROUND(Request!$E23/Worksheet!$C$5*Worksheet!$C$5,0)))))))</f>
        <v>0</v>
      </c>
      <c r="C343" s="238"/>
      <c r="D343" s="237" t="str">
        <f>IF(Worksheet!$D$5=0,"",IF($C$4=$D$4,(IF(AND(Request!$S$4="Multi",Request!$R$4="FY"),ROUND(((1+Request!$M23)^(Worksheet!$B$20)*Worksheet!$D$9+(1+Request!$M23)^(Worksheet!$B$20+1)*Worksheet!$D$10)/Worksheet!$D$5*Request!$E23,0),(IF(AND(Request!$S$4="Multi",Request!$R$4="PY"),ROUND(Request!$E23*(1+Request!$M23)/Worksheet!$D$5*Worksheet!$D$5,0),(IF(AND(Request!$S$4&lt;&gt;"Multi",Request!$R$4="FY"),ROUND(((1+Request!$S$4)^(Worksheet!$B$20)*Worksheet!$D$9+(1+Request!$S$4)^(Worksheet!$B$20+1)*Worksheet!$D$10)/Worksheet!$D$5*Request!$E23,0),ROUND(Request!$E23*(1+Request!$S$4)/Worksheet!$D$5*Worksheet!$D$5,0))))))),(IF(AND(Request!$S$4="Multi",Request!$R$4="FY"),ROUND(((1+Request!$M23)^(Worksheet!$B$20+1)*Worksheet!$D$9+(1+Request!$M23)^(Worksheet!$B$20+2)*Worksheet!$D$10)/Worksheet!$D$5*Request!$E23,0),(IF(AND(Request!$S$4="Multi",Request!$R$4="PY"),ROUND(Request!$E23*(1+Request!$M23)/Worksheet!$D$5*Worksheet!$D$5,0),(IF(AND(Request!$S$4&lt;&gt;"Multi",Request!$R$4="FY"),ROUND(((1+Request!$S$4)^(Worksheet!$B$20+1)*Worksheet!$D$9+(1+Request!$S$4)^(Worksheet!$B$20+2)*Worksheet!$D$10)/Worksheet!$D$5*Request!$E23,0),ROUND(Request!$E23*(1+Request!$S$4)/Worksheet!$D$5*Worksheet!$D$5,0)))))))))</f>
        <v/>
      </c>
      <c r="E343" s="238"/>
      <c r="F343" s="237" t="str">
        <f>IF(Worksheet!$E$5=0,"",IF($C$4=$D$4,(IF(AND(Request!$S$4="Multi",Request!$R$4="FY"),ROUND(((1+Request!$M23)^(Worksheet!$B$20+1)*Worksheet!$E$9+(1+Request!$M23)^(Worksheet!$B$20+3)*Worksheet!$E$10)/Worksheet!$E$5*Request!$E23,0),(IF(AND(Request!$S$4="Multi",Request!$R$4="PY"),ROUND(Request!$E23*((1+Request!$M23)^2)/Worksheet!$E$5*Worksheet!$E$5,0),(IF(AND(Request!$S$4&lt;&gt;"Multi",Request!$R$4="FY"),ROUND(((1+Request!$S$4)^(Worksheet!$B$20+1)*Worksheet!$E$9+(1+Request!$S$4)^(Worksheet!$B$20+2)*Worksheet!$E$10)/Worksheet!$E$5*Request!$E23,0),ROUND(Request!$E23*((1+Request!$S$4)^2)/Worksheet!$E$5*Worksheet!$E$5,0))))))),(IF(AND(Request!$S$4="Multi",Request!$R$4="FY"),ROUND(((1+Request!$M23)^(Worksheet!$B$20+2)*Worksheet!$E$9+(1+Request!$M23)^(Worksheet!$B$20+3)*Worksheet!$E$10)/Worksheet!$E$5*Request!$E23,0),(IF(AND(Request!$S$4="Multi",Request!$R$4="PY"),ROUND(Request!$E23*((1+Request!$M23)^2)/Worksheet!$E$5*Worksheet!$E$5,0),(IF(AND(Request!$S$4&lt;&gt;"Multi",Request!$R$4="FY"),ROUND(((1+Request!$S$4)^(Worksheet!$B$20+2)*Worksheet!$E$9+(1+Request!$S$4)^(Worksheet!$B$20+3)*Worksheet!$E$10)/Worksheet!$E$5*Request!$E23,0),ROUND(Request!$E23*((1+Request!$S$4)^2)/Worksheet!$E$5*Worksheet!$E$5,0)))))))))</f>
        <v/>
      </c>
      <c r="G343" s="238"/>
      <c r="H343" s="237" t="str">
        <f>IF(Worksheet!$F$5=0,"",IF($C$4=$D$4,(IF(AND(Request!$S$4="Multi",Request!$R$4="FY"),ROUND(((1+Request!$M23)^(Worksheet!$B$20+2)*Worksheet!$F$9+(1+Request!$M23)^(Worksheet!$B$20+3)*Worksheet!$F$10)/Worksheet!$F$5*Request!$E23,0),(IF(AND(Request!$S$4="Multi",Request!$R$4="PY"),ROUND(Request!$E23*((1+Request!$M23)^3)/Worksheet!$F$5*Worksheet!$F$5,0),(IF(AND(Request!$S$4&lt;&gt;"Multi",Request!$R$4="FY"),ROUND(((1+Request!$S$4)^(Worksheet!$B$20+2)*Worksheet!$F$9+(1+Request!$S$4)^(Worksheet!$B$20+3)*Worksheet!$F$10)/Worksheet!$F$5*Request!$E23,0),ROUND(Request!$E23*((1+Request!$S$4)^3)/Worksheet!$F$5*Worksheet!$F$5,0))))))),(IF(AND(Request!$S$4="Multi",Request!$R$4="FY"),ROUND(((1+Request!$M23)^(Worksheet!$B$20+3)*Worksheet!$F$9+(1+Request!$M23)^(Worksheet!$B$20+4)*Worksheet!$F$10)/Worksheet!$F$5*Request!$E23,0),(IF(AND(Request!$S$4="Multi",Request!$R$4="PY"),ROUND(Request!$E23*((1+Request!$M23)^3)/Worksheet!$F$5*Worksheet!$F$5,0),(IF(AND(Request!$S$4&lt;&gt;"Multi",Request!$R$4="FY"),ROUND(((1+Request!$S$4)^(Worksheet!$B$20+3)*Worksheet!$F$9+(1+Request!$S$4)^(Worksheet!$B$20+4)*Worksheet!$F$10)/Worksheet!$F$5*Request!$E23,0),ROUND(Request!$E23*((1+Request!$S$4)^3)/Worksheet!$F$5*Worksheet!$F$5,0)))))))))</f>
        <v/>
      </c>
      <c r="I343" s="238"/>
      <c r="J343" s="237" t="str">
        <f>IF(Worksheet!$G$5=0,"",IF($C$4=$D$4,(IF(AND(Request!$S$4="Multi",Request!$R$4="FY"),ROUND(((1+Request!$M23)^(Worksheet!$B$20+3)*Worksheet!$G$9+(1+Request!$M23)^(Worksheet!$B$20+4)*Worksheet!$G$10)/Worksheet!$G$5*Request!$E23,0),(IF(AND(Request!$S$4="Multi",Request!$R$4="PY"),ROUND(Request!$E23*((1+Request!$M23)^4)/Worksheet!$G$5*Worksheet!$G$5,0),(IF(AND(Request!$S$4&lt;&gt;"Multi",Request!$R$4="FY"),ROUND(((1+Request!$S$4)^(Worksheet!$B$20+3)*Worksheet!$G$9+(1+Request!$S$4)^(Worksheet!$B$20+4)*Worksheet!$G$10)/Worksheet!$G$5*Request!$E23,0),ROUND(Request!$E23*((1+Request!$S$4)^4)/Worksheet!$G$5*Worksheet!$G$5,0))))))),(IF(AND(Request!$S$4="Multi",Request!$R$4="FY"),ROUND(((1+Request!$M23)^(Worksheet!$B$20+4)*Worksheet!$G$9+(1+Request!$M23)^(Worksheet!$B$20+5)*Worksheet!$G$10)/Worksheet!$G$5*Request!$E23,0),(IF(AND(Request!$S$4="Multi",Request!$R$4="PY"),ROUND(Request!$E23*((1+Request!$M23)^4)/Worksheet!$G$5*Worksheet!$G$5,0),(IF(AND(Request!$S$4&lt;&gt;"Multi",Request!$R$4="FY"),ROUND(((1+Request!$S$4)^(Worksheet!$B$20+4)*Worksheet!$G$9+(1+Request!$S$4)^(Worksheet!$B$20+5)*Worksheet!$G$10)/Worksheet!$G$5*Request!$E23,0),ROUND(Request!$E23*((1+Request!$S$4)^4)/Worksheet!$G$5*Worksheet!$G$5,0)))))))))</f>
        <v/>
      </c>
      <c r="K343" s="238"/>
    </row>
    <row r="344" spans="1:11" x14ac:dyDescent="0.2">
      <c r="A344" s="81" t="e">
        <f>#REF!</f>
        <v>#REF!</v>
      </c>
      <c r="B344" s="237">
        <f>IF(Worksheet!$C$5=0,"",IF(AND(Request!$S$4="Multi",Request!$R$4="FY"),ROUND(((1+Request!$M24)^Worksheet!$B$20*Worksheet!$C$9+(1+Request!$M24)^(Worksheet!$B$20+1)*Worksheet!$C$10)/(Worksheet!$C$5)*Request!$E24,0),(IF(AND(Request!$S$4="Multi",Request!$R$4="PY"),ROUND(Request!$E24/(Worksheet!$C$5)*Worksheet!$C$5,0),(IF(AND(Request!$S$4&lt;&gt;"Multi",Request!$R$4="FY"),ROUND(((1+Request!$S$4)^Worksheet!$B$20*Worksheet!$C$9+(1+Request!$S$4)^(Worksheet!$B$20+1)*Worksheet!$C$10)/Worksheet!$C$5*Request!$E24,0),ROUND(Request!$E24/Worksheet!$C$5*Worksheet!$C$5,0)))))))</f>
        <v>0</v>
      </c>
      <c r="C344" s="238"/>
      <c r="D344" s="237" t="str">
        <f>IF(Worksheet!$D$5=0,"",IF($C$4=$D$4,(IF(AND(Request!$S$4="Multi",Request!$R$4="FY"),ROUND(((1+Request!$M24)^(Worksheet!$B$20)*Worksheet!$D$9+(1+Request!$M24)^(Worksheet!$B$20+1)*Worksheet!$D$10)/Worksheet!$D$5*Request!$E24,0),(IF(AND(Request!$S$4="Multi",Request!$R$4="PY"),ROUND(Request!$E24*(1+Request!$M24)/Worksheet!$D$5*Worksheet!$D$5,0),(IF(AND(Request!$S$4&lt;&gt;"Multi",Request!$R$4="FY"),ROUND(((1+Request!$S$4)^(Worksheet!$B$20)*Worksheet!$D$9+(1+Request!$S$4)^(Worksheet!$B$20+1)*Worksheet!$D$10)/Worksheet!$D$5*Request!$E24,0),ROUND(Request!$E24*(1+Request!$S$4)/Worksheet!$D$5*Worksheet!$D$5,0))))))),(IF(AND(Request!$S$4="Multi",Request!$R$4="FY"),ROUND(((1+Request!$M24)^(Worksheet!$B$20+1)*Worksheet!$D$9+(1+Request!$M24)^(Worksheet!$B$20+2)*Worksheet!$D$10)/Worksheet!$D$5*Request!$E24,0),(IF(AND(Request!$S$4="Multi",Request!$R$4="PY"),ROUND(Request!$E24*(1+Request!$M24)/Worksheet!$D$5*Worksheet!$D$5,0),(IF(AND(Request!$S$4&lt;&gt;"Multi",Request!$R$4="FY"),ROUND(((1+Request!$S$4)^(Worksheet!$B$20+1)*Worksheet!$D$9+(1+Request!$S$4)^(Worksheet!$B$20+2)*Worksheet!$D$10)/Worksheet!$D$5*Request!$E24,0),ROUND(Request!$E24*(1+Request!$S$4)/Worksheet!$D$5*Worksheet!$D$5,0)))))))))</f>
        <v/>
      </c>
      <c r="E344" s="238"/>
      <c r="F344" s="237" t="str">
        <f>IF(Worksheet!$E$5=0,"",IF($C$4=$D$4,(IF(AND(Request!$S$4="Multi",Request!$R$4="FY"),ROUND(((1+Request!$M24)^(Worksheet!$B$20+1)*Worksheet!$E$9+(1+Request!$M24)^(Worksheet!$B$20+3)*Worksheet!$E$10)/Worksheet!$E$5*Request!$E24,0),(IF(AND(Request!$S$4="Multi",Request!$R$4="PY"),ROUND(Request!$E24*((1+Request!$M24)^2)/Worksheet!$E$5*Worksheet!$E$5,0),(IF(AND(Request!$S$4&lt;&gt;"Multi",Request!$R$4="FY"),ROUND(((1+Request!$S$4)^(Worksheet!$B$20+1)*Worksheet!$E$9+(1+Request!$S$4)^(Worksheet!$B$20+2)*Worksheet!$E$10)/Worksheet!$E$5*Request!$E24,0),ROUND(Request!$E24*((1+Request!$S$4)^2)/Worksheet!$E$5*Worksheet!$E$5,0))))))),(IF(AND(Request!$S$4="Multi",Request!$R$4="FY"),ROUND(((1+Request!$M24)^(Worksheet!$B$20+2)*Worksheet!$E$9+(1+Request!$M24)^(Worksheet!$B$20+3)*Worksheet!$E$10)/Worksheet!$E$5*Request!$E24,0),(IF(AND(Request!$S$4="Multi",Request!$R$4="PY"),ROUND(Request!$E24*((1+Request!$M24)^2)/Worksheet!$E$5*Worksheet!$E$5,0),(IF(AND(Request!$S$4&lt;&gt;"Multi",Request!$R$4="FY"),ROUND(((1+Request!$S$4)^(Worksheet!$B$20+2)*Worksheet!$E$9+(1+Request!$S$4)^(Worksheet!$B$20+3)*Worksheet!$E$10)/Worksheet!$E$5*Request!$E24,0),ROUND(Request!$E24*((1+Request!$S$4)^2)/Worksheet!$E$5*Worksheet!$E$5,0)))))))))</f>
        <v/>
      </c>
      <c r="G344" s="238"/>
      <c r="H344" s="237" t="str">
        <f>IF(Worksheet!$F$5=0,"",IF($C$4=$D$4,(IF(AND(Request!$S$4="Multi",Request!$R$4="FY"),ROUND(((1+Request!$M24)^(Worksheet!$B$20+2)*Worksheet!$F$9+(1+Request!$M24)^(Worksheet!$B$20+3)*Worksheet!$F$10)/Worksheet!$F$5*Request!$E24,0),(IF(AND(Request!$S$4="Multi",Request!$R$4="PY"),ROUND(Request!$E24*((1+Request!$M24)^3)/Worksheet!$F$5*Worksheet!$F$5,0),(IF(AND(Request!$S$4&lt;&gt;"Multi",Request!$R$4="FY"),ROUND(((1+Request!$S$4)^(Worksheet!$B$20+2)*Worksheet!$F$9+(1+Request!$S$4)^(Worksheet!$B$20+3)*Worksheet!$F$10)/Worksheet!$F$5*Request!$E24,0),ROUND(Request!$E24*((1+Request!$S$4)^3)/Worksheet!$F$5*Worksheet!$F$5,0))))))),(IF(AND(Request!$S$4="Multi",Request!$R$4="FY"),ROUND(((1+Request!$M24)^(Worksheet!$B$20+3)*Worksheet!$F$9+(1+Request!$M24)^(Worksheet!$B$20+4)*Worksheet!$F$10)/Worksheet!$F$5*Request!$E24,0),(IF(AND(Request!$S$4="Multi",Request!$R$4="PY"),ROUND(Request!$E24*((1+Request!$M24)^3)/Worksheet!$F$5*Worksheet!$F$5,0),(IF(AND(Request!$S$4&lt;&gt;"Multi",Request!$R$4="FY"),ROUND(((1+Request!$S$4)^(Worksheet!$B$20+3)*Worksheet!$F$9+(1+Request!$S$4)^(Worksheet!$B$20+4)*Worksheet!$F$10)/Worksheet!$F$5*Request!$E24,0),ROUND(Request!$E24*((1+Request!$S$4)^3)/Worksheet!$F$5*Worksheet!$F$5,0)))))))))</f>
        <v/>
      </c>
      <c r="I344" s="238"/>
      <c r="J344" s="237" t="str">
        <f>IF(Worksheet!$G$5=0,"",IF($C$4=$D$4,(IF(AND(Request!$S$4="Multi",Request!$R$4="FY"),ROUND(((1+Request!$M24)^(Worksheet!$B$20+3)*Worksheet!$G$9+(1+Request!$M24)^(Worksheet!$B$20+4)*Worksheet!$G$10)/Worksheet!$G$5*Request!$E24,0),(IF(AND(Request!$S$4="Multi",Request!$R$4="PY"),ROUND(Request!$E24*((1+Request!$M24)^4)/Worksheet!$G$5*Worksheet!$G$5,0),(IF(AND(Request!$S$4&lt;&gt;"Multi",Request!$R$4="FY"),ROUND(((1+Request!$S$4)^(Worksheet!$B$20+3)*Worksheet!$G$9+(1+Request!$S$4)^(Worksheet!$B$20+4)*Worksheet!$G$10)/Worksheet!$G$5*Request!$E24,0),ROUND(Request!$E24*((1+Request!$S$4)^4)/Worksheet!$G$5*Worksheet!$G$5,0))))))),(IF(AND(Request!$S$4="Multi",Request!$R$4="FY"),ROUND(((1+Request!$M24)^(Worksheet!$B$20+4)*Worksheet!$G$9+(1+Request!$M24)^(Worksheet!$B$20+5)*Worksheet!$G$10)/Worksheet!$G$5*Request!$E24,0),(IF(AND(Request!$S$4="Multi",Request!$R$4="PY"),ROUND(Request!$E24*((1+Request!$M24)^4)/Worksheet!$G$5*Worksheet!$G$5,0),(IF(AND(Request!$S$4&lt;&gt;"Multi",Request!$R$4="FY"),ROUND(((1+Request!$S$4)^(Worksheet!$B$20+4)*Worksheet!$G$9+(1+Request!$S$4)^(Worksheet!$B$20+5)*Worksheet!$G$10)/Worksheet!$G$5*Request!$E24,0),ROUND(Request!$E24*((1+Request!$S$4)^4)/Worksheet!$G$5*Worksheet!$G$5,0)))))))))</f>
        <v/>
      </c>
      <c r="K344" s="238"/>
    </row>
    <row r="345" spans="1:11" x14ac:dyDescent="0.2">
      <c r="A345" s="81" t="e">
        <f>#REF!</f>
        <v>#REF!</v>
      </c>
      <c r="B345" s="237">
        <f>IF(Worksheet!$C$5=0,"",IF(AND(Request!$S$4="Multi",Request!$R$4="FY"),ROUND(((1+Request!$M25)^Worksheet!$B$20*Worksheet!$C$9+(1+Request!$M25)^(Worksheet!$B$20+1)*Worksheet!$C$10)/(Worksheet!$C$5)*Request!$E25,0),(IF(AND(Request!$S$4="Multi",Request!$R$4="PY"),ROUND(Request!$E25/(Worksheet!$C$5)*Worksheet!$C$5,0),(IF(AND(Request!$S$4&lt;&gt;"Multi",Request!$R$4="FY"),ROUND(((1+Request!$S$4)^Worksheet!$B$20*Worksheet!$C$9+(1+Request!$S$4)^(Worksheet!$B$20+1)*Worksheet!$C$10)/Worksheet!$C$5*Request!$E25,0),ROUND(Request!$E25/Worksheet!$C$5*Worksheet!$C$5,0)))))))</f>
        <v>0</v>
      </c>
      <c r="C345" s="238"/>
      <c r="D345" s="237" t="str">
        <f>IF(Worksheet!$D$5=0,"",IF($C$4=$D$4,(IF(AND(Request!$S$4="Multi",Request!$R$4="FY"),ROUND(((1+Request!$M25)^(Worksheet!$B$20)*Worksheet!$D$9+(1+Request!$M25)^(Worksheet!$B$20+1)*Worksheet!$D$10)/Worksheet!$D$5*Request!$E25,0),(IF(AND(Request!$S$4="Multi",Request!$R$4="PY"),ROUND(Request!$E25*(1+Request!$M25)/Worksheet!$D$5*Worksheet!$D$5,0),(IF(AND(Request!$S$4&lt;&gt;"Multi",Request!$R$4="FY"),ROUND(((1+Request!$S$4)^(Worksheet!$B$20)*Worksheet!$D$9+(1+Request!$S$4)^(Worksheet!$B$20+1)*Worksheet!$D$10)/Worksheet!$D$5*Request!$E25,0),ROUND(Request!$E25*(1+Request!$S$4)/Worksheet!$D$5*Worksheet!$D$5,0))))))),(IF(AND(Request!$S$4="Multi",Request!$R$4="FY"),ROUND(((1+Request!$M25)^(Worksheet!$B$20+1)*Worksheet!$D$9+(1+Request!$M25)^(Worksheet!$B$20+2)*Worksheet!$D$10)/Worksheet!$D$5*Request!$E25,0),(IF(AND(Request!$S$4="Multi",Request!$R$4="PY"),ROUND(Request!$E25*(1+Request!$M25)/Worksheet!$D$5*Worksheet!$D$5,0),(IF(AND(Request!$S$4&lt;&gt;"Multi",Request!$R$4="FY"),ROUND(((1+Request!$S$4)^(Worksheet!$B$20+1)*Worksheet!$D$9+(1+Request!$S$4)^(Worksheet!$B$20+2)*Worksheet!$D$10)/Worksheet!$D$5*Request!$E25,0),ROUND(Request!$E25*(1+Request!$S$4)/Worksheet!$D$5*Worksheet!$D$5,0)))))))))</f>
        <v/>
      </c>
      <c r="E345" s="238"/>
      <c r="F345" s="237" t="str">
        <f>IF(Worksheet!$E$5=0,"",IF($C$4=$D$4,(IF(AND(Request!$S$4="Multi",Request!$R$4="FY"),ROUND(((1+Request!$M25)^(Worksheet!$B$20+1)*Worksheet!$E$9+(1+Request!$M25)^(Worksheet!$B$20+3)*Worksheet!$E$10)/Worksheet!$E$5*Request!$E25,0),(IF(AND(Request!$S$4="Multi",Request!$R$4="PY"),ROUND(Request!$E25*((1+Request!$M25)^2)/Worksheet!$E$5*Worksheet!$E$5,0),(IF(AND(Request!$S$4&lt;&gt;"Multi",Request!$R$4="FY"),ROUND(((1+Request!$S$4)^(Worksheet!$B$20+1)*Worksheet!$E$9+(1+Request!$S$4)^(Worksheet!$B$20+2)*Worksheet!$E$10)/Worksheet!$E$5*Request!$E25,0),ROUND(Request!$E25*((1+Request!$S$4)^2)/Worksheet!$E$5*Worksheet!$E$5,0))))))),(IF(AND(Request!$S$4="Multi",Request!$R$4="FY"),ROUND(((1+Request!$M25)^(Worksheet!$B$20+2)*Worksheet!$E$9+(1+Request!$M25)^(Worksheet!$B$20+3)*Worksheet!$E$10)/Worksheet!$E$5*Request!$E25,0),(IF(AND(Request!$S$4="Multi",Request!$R$4="PY"),ROUND(Request!$E25*((1+Request!$M25)^2)/Worksheet!$E$5*Worksheet!$E$5,0),(IF(AND(Request!$S$4&lt;&gt;"Multi",Request!$R$4="FY"),ROUND(((1+Request!$S$4)^(Worksheet!$B$20+2)*Worksheet!$E$9+(1+Request!$S$4)^(Worksheet!$B$20+3)*Worksheet!$E$10)/Worksheet!$E$5*Request!$E25,0),ROUND(Request!$E25*((1+Request!$S$4)^2)/Worksheet!$E$5*Worksheet!$E$5,0)))))))))</f>
        <v/>
      </c>
      <c r="G345" s="238"/>
      <c r="H345" s="237" t="str">
        <f>IF(Worksheet!$F$5=0,"",IF($C$4=$D$4,(IF(AND(Request!$S$4="Multi",Request!$R$4="FY"),ROUND(((1+Request!$M25)^(Worksheet!$B$20+2)*Worksheet!$F$9+(1+Request!$M25)^(Worksheet!$B$20+3)*Worksheet!$F$10)/Worksheet!$F$5*Request!$E25,0),(IF(AND(Request!$S$4="Multi",Request!$R$4="PY"),ROUND(Request!$E25*((1+Request!$M25)^3)/Worksheet!$F$5*Worksheet!$F$5,0),(IF(AND(Request!$S$4&lt;&gt;"Multi",Request!$R$4="FY"),ROUND(((1+Request!$S$4)^(Worksheet!$B$20+2)*Worksheet!$F$9+(1+Request!$S$4)^(Worksheet!$B$20+3)*Worksheet!$F$10)/Worksheet!$F$5*Request!$E25,0),ROUND(Request!$E25*((1+Request!$S$4)^3)/Worksheet!$F$5*Worksheet!$F$5,0))))))),(IF(AND(Request!$S$4="Multi",Request!$R$4="FY"),ROUND(((1+Request!$M25)^(Worksheet!$B$20+3)*Worksheet!$F$9+(1+Request!$M25)^(Worksheet!$B$20+4)*Worksheet!$F$10)/Worksheet!$F$5*Request!$E25,0),(IF(AND(Request!$S$4="Multi",Request!$R$4="PY"),ROUND(Request!$E25*((1+Request!$M25)^3)/Worksheet!$F$5*Worksheet!$F$5,0),(IF(AND(Request!$S$4&lt;&gt;"Multi",Request!$R$4="FY"),ROUND(((1+Request!$S$4)^(Worksheet!$B$20+3)*Worksheet!$F$9+(1+Request!$S$4)^(Worksheet!$B$20+4)*Worksheet!$F$10)/Worksheet!$F$5*Request!$E25,0),ROUND(Request!$E25*((1+Request!$S$4)^3)/Worksheet!$F$5*Worksheet!$F$5,0)))))))))</f>
        <v/>
      </c>
      <c r="I345" s="238"/>
      <c r="J345" s="237" t="str">
        <f>IF(Worksheet!$G$5=0,"",IF($C$4=$D$4,(IF(AND(Request!$S$4="Multi",Request!$R$4="FY"),ROUND(((1+Request!$M25)^(Worksheet!$B$20+3)*Worksheet!$G$9+(1+Request!$M25)^(Worksheet!$B$20+4)*Worksheet!$G$10)/Worksheet!$G$5*Request!$E25,0),(IF(AND(Request!$S$4="Multi",Request!$R$4="PY"),ROUND(Request!$E25*((1+Request!$M25)^4)/Worksheet!$G$5*Worksheet!$G$5,0),(IF(AND(Request!$S$4&lt;&gt;"Multi",Request!$R$4="FY"),ROUND(((1+Request!$S$4)^(Worksheet!$B$20+3)*Worksheet!$G$9+(1+Request!$S$4)^(Worksheet!$B$20+4)*Worksheet!$G$10)/Worksheet!$G$5*Request!$E25,0),ROUND(Request!$E25*((1+Request!$S$4)^4)/Worksheet!$G$5*Worksheet!$G$5,0))))))),(IF(AND(Request!$S$4="Multi",Request!$R$4="FY"),ROUND(((1+Request!$M25)^(Worksheet!$B$20+4)*Worksheet!$G$9+(1+Request!$M25)^(Worksheet!$B$20+5)*Worksheet!$G$10)/Worksheet!$G$5*Request!$E25,0),(IF(AND(Request!$S$4="Multi",Request!$R$4="PY"),ROUND(Request!$E25*((1+Request!$M25)^4)/Worksheet!$G$5*Worksheet!$G$5,0),(IF(AND(Request!$S$4&lt;&gt;"Multi",Request!$R$4="FY"),ROUND(((1+Request!$S$4)^(Worksheet!$B$20+4)*Worksheet!$G$9+(1+Request!$S$4)^(Worksheet!$B$20+5)*Worksheet!$G$10)/Worksheet!$G$5*Request!$E25,0),ROUND(Request!$E25*((1+Request!$S$4)^4)/Worksheet!$G$5*Worksheet!$G$5,0)))))))))</f>
        <v/>
      </c>
      <c r="K345" s="238"/>
    </row>
    <row r="346" spans="1:11" x14ac:dyDescent="0.2">
      <c r="A346" s="81" t="e">
        <f>#REF!</f>
        <v>#REF!</v>
      </c>
      <c r="B346" s="237">
        <f>IF(Worksheet!$C$5=0,"",IF(AND(Request!$S$4="Multi",Request!$R$4="FY"),ROUND(((1+Request!$M26)^Worksheet!$B$20*Worksheet!$C$9+(1+Request!$M26)^(Worksheet!$B$20+1)*Worksheet!$C$10)/(Worksheet!$C$5)*Request!$E26,0),(IF(AND(Request!$S$4="Multi",Request!$R$4="PY"),ROUND(Request!$E26/(Worksheet!$C$5)*Worksheet!$C$5,0),(IF(AND(Request!$S$4&lt;&gt;"Multi",Request!$R$4="FY"),ROUND(((1+Request!$S$4)^Worksheet!$B$20*Worksheet!$C$9+(1+Request!$S$4)^(Worksheet!$B$20+1)*Worksheet!$C$10)/Worksheet!$C$5*Request!$E26,0),ROUND(Request!$E26/Worksheet!$C$5*Worksheet!$C$5,0)))))))</f>
        <v>0</v>
      </c>
      <c r="C346" s="238"/>
      <c r="D346" s="237" t="str">
        <f>IF(Worksheet!$D$5=0,"",IF($C$4=$D$4,(IF(AND(Request!$S$4="Multi",Request!$R$4="FY"),ROUND(((1+Request!$M26)^(Worksheet!$B$20)*Worksheet!$D$9+(1+Request!$M26)^(Worksheet!$B$20+1)*Worksheet!$D$10)/Worksheet!$D$5*Request!$E26,0),(IF(AND(Request!$S$4="Multi",Request!$R$4="PY"),ROUND(Request!$E26*(1+Request!$M26)/Worksheet!$D$5*Worksheet!$D$5,0),(IF(AND(Request!$S$4&lt;&gt;"Multi",Request!$R$4="FY"),ROUND(((1+Request!$S$4)^(Worksheet!$B$20)*Worksheet!$D$9+(1+Request!$S$4)^(Worksheet!$B$20+1)*Worksheet!$D$10)/Worksheet!$D$5*Request!$E26,0),ROUND(Request!$E26*(1+Request!$S$4)/Worksheet!$D$5*Worksheet!$D$5,0))))))),(IF(AND(Request!$S$4="Multi",Request!$R$4="FY"),ROUND(((1+Request!$M26)^(Worksheet!$B$20+1)*Worksheet!$D$9+(1+Request!$M26)^(Worksheet!$B$20+2)*Worksheet!$D$10)/Worksheet!$D$5*Request!$E26,0),(IF(AND(Request!$S$4="Multi",Request!$R$4="PY"),ROUND(Request!$E26*(1+Request!$M26)/Worksheet!$D$5*Worksheet!$D$5,0),(IF(AND(Request!$S$4&lt;&gt;"Multi",Request!$R$4="FY"),ROUND(((1+Request!$S$4)^(Worksheet!$B$20+1)*Worksheet!$D$9+(1+Request!$S$4)^(Worksheet!$B$20+2)*Worksheet!$D$10)/Worksheet!$D$5*Request!$E26,0),ROUND(Request!$E26*(1+Request!$S$4)/Worksheet!$D$5*Worksheet!$D$5,0)))))))))</f>
        <v/>
      </c>
      <c r="E346" s="238"/>
      <c r="F346" s="237" t="str">
        <f>IF(Worksheet!$E$5=0,"",IF($C$4=$D$4,(IF(AND(Request!$S$4="Multi",Request!$R$4="FY"),ROUND(((1+Request!$M26)^(Worksheet!$B$20+1)*Worksheet!$E$9+(1+Request!$M26)^(Worksheet!$B$20+3)*Worksheet!$E$10)/Worksheet!$E$5*Request!$E26,0),(IF(AND(Request!$S$4="Multi",Request!$R$4="PY"),ROUND(Request!$E26*((1+Request!$M26)^2)/Worksheet!$E$5*Worksheet!$E$5,0),(IF(AND(Request!$S$4&lt;&gt;"Multi",Request!$R$4="FY"),ROUND(((1+Request!$S$4)^(Worksheet!$B$20+1)*Worksheet!$E$9+(1+Request!$S$4)^(Worksheet!$B$20+2)*Worksheet!$E$10)/Worksheet!$E$5*Request!$E26,0),ROUND(Request!$E26*((1+Request!$S$4)^2)/Worksheet!$E$5*Worksheet!$E$5,0))))))),(IF(AND(Request!$S$4="Multi",Request!$R$4="FY"),ROUND(((1+Request!$M26)^(Worksheet!$B$20+2)*Worksheet!$E$9+(1+Request!$M26)^(Worksheet!$B$20+3)*Worksheet!$E$10)/Worksheet!$E$5*Request!$E26,0),(IF(AND(Request!$S$4="Multi",Request!$R$4="PY"),ROUND(Request!$E26*((1+Request!$M26)^2)/Worksheet!$E$5*Worksheet!$E$5,0),(IF(AND(Request!$S$4&lt;&gt;"Multi",Request!$R$4="FY"),ROUND(((1+Request!$S$4)^(Worksheet!$B$20+2)*Worksheet!$E$9+(1+Request!$S$4)^(Worksheet!$B$20+3)*Worksheet!$E$10)/Worksheet!$E$5*Request!$E26,0),ROUND(Request!$E26*((1+Request!$S$4)^2)/Worksheet!$E$5*Worksheet!$E$5,0)))))))))</f>
        <v/>
      </c>
      <c r="G346" s="238"/>
      <c r="H346" s="237" t="str">
        <f>IF(Worksheet!$F$5=0,"",IF($C$4=$D$4,(IF(AND(Request!$S$4="Multi",Request!$R$4="FY"),ROUND(((1+Request!$M26)^(Worksheet!$B$20+2)*Worksheet!$F$9+(1+Request!$M26)^(Worksheet!$B$20+3)*Worksheet!$F$10)/Worksheet!$F$5*Request!$E26,0),(IF(AND(Request!$S$4="Multi",Request!$R$4="PY"),ROUND(Request!$E26*((1+Request!$M26)^3)/Worksheet!$F$5*Worksheet!$F$5,0),(IF(AND(Request!$S$4&lt;&gt;"Multi",Request!$R$4="FY"),ROUND(((1+Request!$S$4)^(Worksheet!$B$20+2)*Worksheet!$F$9+(1+Request!$S$4)^(Worksheet!$B$20+3)*Worksheet!$F$10)/Worksheet!$F$5*Request!$E26,0),ROUND(Request!$E26*((1+Request!$S$4)^3)/Worksheet!$F$5*Worksheet!$F$5,0))))))),(IF(AND(Request!$S$4="Multi",Request!$R$4="FY"),ROUND(((1+Request!$M26)^(Worksheet!$B$20+3)*Worksheet!$F$9+(1+Request!$M26)^(Worksheet!$B$20+4)*Worksheet!$F$10)/Worksheet!$F$5*Request!$E26,0),(IF(AND(Request!$S$4="Multi",Request!$R$4="PY"),ROUND(Request!$E26*((1+Request!$M26)^3)/Worksheet!$F$5*Worksheet!$F$5,0),(IF(AND(Request!$S$4&lt;&gt;"Multi",Request!$R$4="FY"),ROUND(((1+Request!$S$4)^(Worksheet!$B$20+3)*Worksheet!$F$9+(1+Request!$S$4)^(Worksheet!$B$20+4)*Worksheet!$F$10)/Worksheet!$F$5*Request!$E26,0),ROUND(Request!$E26*((1+Request!$S$4)^3)/Worksheet!$F$5*Worksheet!$F$5,0)))))))))</f>
        <v/>
      </c>
      <c r="I346" s="238"/>
      <c r="J346" s="237" t="str">
        <f>IF(Worksheet!$G$5=0,"",IF($C$4=$D$4,(IF(AND(Request!$S$4="Multi",Request!$R$4="FY"),ROUND(((1+Request!$M26)^(Worksheet!$B$20+3)*Worksheet!$G$9+(1+Request!$M26)^(Worksheet!$B$20+4)*Worksheet!$G$10)/Worksheet!$G$5*Request!$E26,0),(IF(AND(Request!$S$4="Multi",Request!$R$4="PY"),ROUND(Request!$E26*((1+Request!$M26)^4)/Worksheet!$G$5*Worksheet!$G$5,0),(IF(AND(Request!$S$4&lt;&gt;"Multi",Request!$R$4="FY"),ROUND(((1+Request!$S$4)^(Worksheet!$B$20+3)*Worksheet!$G$9+(1+Request!$S$4)^(Worksheet!$B$20+4)*Worksheet!$G$10)/Worksheet!$G$5*Request!$E26,0),ROUND(Request!$E26*((1+Request!$S$4)^4)/Worksheet!$G$5*Worksheet!$G$5,0))))))),(IF(AND(Request!$S$4="Multi",Request!$R$4="FY"),ROUND(((1+Request!$M26)^(Worksheet!$B$20+4)*Worksheet!$G$9+(1+Request!$M26)^(Worksheet!$B$20+5)*Worksheet!$G$10)/Worksheet!$G$5*Request!$E26,0),(IF(AND(Request!$S$4="Multi",Request!$R$4="PY"),ROUND(Request!$E26*((1+Request!$M26)^4)/Worksheet!$G$5*Worksheet!$G$5,0),(IF(AND(Request!$S$4&lt;&gt;"Multi",Request!$R$4="FY"),ROUND(((1+Request!$S$4)^(Worksheet!$B$20+4)*Worksheet!$G$9+(1+Request!$S$4)^(Worksheet!$B$20+5)*Worksheet!$G$10)/Worksheet!$G$5*Request!$E26,0),ROUND(Request!$E26*((1+Request!$S$4)^4)/Worksheet!$G$5*Worksheet!$G$5,0)))))))))</f>
        <v/>
      </c>
      <c r="K346" s="238"/>
    </row>
    <row r="347" spans="1:11" x14ac:dyDescent="0.2">
      <c r="A347" s="81" t="e">
        <f>#REF!</f>
        <v>#REF!</v>
      </c>
      <c r="B347" s="237">
        <f>IF(Worksheet!$C$5=0,"",IF(AND(Request!$S$4="Multi",Request!$R$4="FY"),ROUND(((1+Request!$M27)^Worksheet!$B$20*Worksheet!$C$9+(1+Request!$M27)^(Worksheet!$B$20+1)*Worksheet!$C$10)/(Worksheet!$C$5)*Request!$E27,0),(IF(AND(Request!$S$4="Multi",Request!$R$4="PY"),ROUND(Request!$E27/(Worksheet!$C$5)*Worksheet!$C$5,0),(IF(AND(Request!$S$4&lt;&gt;"Multi",Request!$R$4="FY"),ROUND(((1+Request!$S$4)^Worksheet!$B$20*Worksheet!$C$9+(1+Request!$S$4)^(Worksheet!$B$20+1)*Worksheet!$C$10)/Worksheet!$C$5*Request!$E27,0),ROUND(Request!$E27/Worksheet!$C$5*Worksheet!$C$5,0)))))))</f>
        <v>0</v>
      </c>
      <c r="C347" s="238"/>
      <c r="D347" s="237" t="str">
        <f>IF(Worksheet!$D$5=0,"",IF($C$4=$D$4,(IF(AND(Request!$S$4="Multi",Request!$R$4="FY"),ROUND(((1+Request!$M27)^(Worksheet!$B$20)*Worksheet!$D$9+(1+Request!$M27)^(Worksheet!$B$20+1)*Worksheet!$D$10)/Worksheet!$D$5*Request!$E27,0),(IF(AND(Request!$S$4="Multi",Request!$R$4="PY"),ROUND(Request!$E27*(1+Request!$M27)/Worksheet!$D$5*Worksheet!$D$5,0),(IF(AND(Request!$S$4&lt;&gt;"Multi",Request!$R$4="FY"),ROUND(((1+Request!$S$4)^(Worksheet!$B$20)*Worksheet!$D$9+(1+Request!$S$4)^(Worksheet!$B$20+1)*Worksheet!$D$10)/Worksheet!$D$5*Request!$E27,0),ROUND(Request!$E27*(1+Request!$S$4)/Worksheet!$D$5*Worksheet!$D$5,0))))))),(IF(AND(Request!$S$4="Multi",Request!$R$4="FY"),ROUND(((1+Request!$M27)^(Worksheet!$B$20+1)*Worksheet!$D$9+(1+Request!$M27)^(Worksheet!$B$20+2)*Worksheet!$D$10)/Worksheet!$D$5*Request!$E27,0),(IF(AND(Request!$S$4="Multi",Request!$R$4="PY"),ROUND(Request!$E27*(1+Request!$M27)/Worksheet!$D$5*Worksheet!$D$5,0),(IF(AND(Request!$S$4&lt;&gt;"Multi",Request!$R$4="FY"),ROUND(((1+Request!$S$4)^(Worksheet!$B$20+1)*Worksheet!$D$9+(1+Request!$S$4)^(Worksheet!$B$20+2)*Worksheet!$D$10)/Worksheet!$D$5*Request!$E27,0),ROUND(Request!$E27*(1+Request!$S$4)/Worksheet!$D$5*Worksheet!$D$5,0)))))))))</f>
        <v/>
      </c>
      <c r="E347" s="238"/>
      <c r="F347" s="237" t="str">
        <f>IF(Worksheet!$E$5=0,"",IF($C$4=$D$4,(IF(AND(Request!$S$4="Multi",Request!$R$4="FY"),ROUND(((1+Request!$M27)^(Worksheet!$B$20+1)*Worksheet!$E$9+(1+Request!$M27)^(Worksheet!$B$20+3)*Worksheet!$E$10)/Worksheet!$E$5*Request!$E27,0),(IF(AND(Request!$S$4="Multi",Request!$R$4="PY"),ROUND(Request!$E27*((1+Request!$M27)^2)/Worksheet!$E$5*Worksheet!$E$5,0),(IF(AND(Request!$S$4&lt;&gt;"Multi",Request!$R$4="FY"),ROUND(((1+Request!$S$4)^(Worksheet!$B$20+1)*Worksheet!$E$9+(1+Request!$S$4)^(Worksheet!$B$20+2)*Worksheet!$E$10)/Worksheet!$E$5*Request!$E27,0),ROUND(Request!$E27*((1+Request!$S$4)^2)/Worksheet!$E$5*Worksheet!$E$5,0))))))),(IF(AND(Request!$S$4="Multi",Request!$R$4="FY"),ROUND(((1+Request!$M27)^(Worksheet!$B$20+2)*Worksheet!$E$9+(1+Request!$M27)^(Worksheet!$B$20+3)*Worksheet!$E$10)/Worksheet!$E$5*Request!$E27,0),(IF(AND(Request!$S$4="Multi",Request!$R$4="PY"),ROUND(Request!$E27*((1+Request!$M27)^2)/Worksheet!$E$5*Worksheet!$E$5,0),(IF(AND(Request!$S$4&lt;&gt;"Multi",Request!$R$4="FY"),ROUND(((1+Request!$S$4)^(Worksheet!$B$20+2)*Worksheet!$E$9+(1+Request!$S$4)^(Worksheet!$B$20+3)*Worksheet!$E$10)/Worksheet!$E$5*Request!$E27,0),ROUND(Request!$E27*((1+Request!$S$4)^2)/Worksheet!$E$5*Worksheet!$E$5,0)))))))))</f>
        <v/>
      </c>
      <c r="G347" s="238"/>
      <c r="H347" s="237" t="str">
        <f>IF(Worksheet!$F$5=0,"",IF($C$4=$D$4,(IF(AND(Request!$S$4="Multi",Request!$R$4="FY"),ROUND(((1+Request!$M27)^(Worksheet!$B$20+2)*Worksheet!$F$9+(1+Request!$M27)^(Worksheet!$B$20+3)*Worksheet!$F$10)/Worksheet!$F$5*Request!$E27,0),(IF(AND(Request!$S$4="Multi",Request!$R$4="PY"),ROUND(Request!$E27*((1+Request!$M27)^3)/Worksheet!$F$5*Worksheet!$F$5,0),(IF(AND(Request!$S$4&lt;&gt;"Multi",Request!$R$4="FY"),ROUND(((1+Request!$S$4)^(Worksheet!$B$20+2)*Worksheet!$F$9+(1+Request!$S$4)^(Worksheet!$B$20+3)*Worksheet!$F$10)/Worksheet!$F$5*Request!$E27,0),ROUND(Request!$E27*((1+Request!$S$4)^3)/Worksheet!$F$5*Worksheet!$F$5,0))))))),(IF(AND(Request!$S$4="Multi",Request!$R$4="FY"),ROUND(((1+Request!$M27)^(Worksheet!$B$20+3)*Worksheet!$F$9+(1+Request!$M27)^(Worksheet!$B$20+4)*Worksheet!$F$10)/Worksheet!$F$5*Request!$E27,0),(IF(AND(Request!$S$4="Multi",Request!$R$4="PY"),ROUND(Request!$E27*((1+Request!$M27)^3)/Worksheet!$F$5*Worksheet!$F$5,0),(IF(AND(Request!$S$4&lt;&gt;"Multi",Request!$R$4="FY"),ROUND(((1+Request!$S$4)^(Worksheet!$B$20+3)*Worksheet!$F$9+(1+Request!$S$4)^(Worksheet!$B$20+4)*Worksheet!$F$10)/Worksheet!$F$5*Request!$E27,0),ROUND(Request!$E27*((1+Request!$S$4)^3)/Worksheet!$F$5*Worksheet!$F$5,0)))))))))</f>
        <v/>
      </c>
      <c r="I347" s="238"/>
      <c r="J347" s="237" t="str">
        <f>IF(Worksheet!$G$5=0,"",IF($C$4=$D$4,(IF(AND(Request!$S$4="Multi",Request!$R$4="FY"),ROUND(((1+Request!$M27)^(Worksheet!$B$20+3)*Worksheet!$G$9+(1+Request!$M27)^(Worksheet!$B$20+4)*Worksheet!$G$10)/Worksheet!$G$5*Request!$E27,0),(IF(AND(Request!$S$4="Multi",Request!$R$4="PY"),ROUND(Request!$E27*((1+Request!$M27)^4)/Worksheet!$G$5*Worksheet!$G$5,0),(IF(AND(Request!$S$4&lt;&gt;"Multi",Request!$R$4="FY"),ROUND(((1+Request!$S$4)^(Worksheet!$B$20+3)*Worksheet!$G$9+(1+Request!$S$4)^(Worksheet!$B$20+4)*Worksheet!$G$10)/Worksheet!$G$5*Request!$E27,0),ROUND(Request!$E27*((1+Request!$S$4)^4)/Worksheet!$G$5*Worksheet!$G$5,0))))))),(IF(AND(Request!$S$4="Multi",Request!$R$4="FY"),ROUND(((1+Request!$M27)^(Worksheet!$B$20+4)*Worksheet!$G$9+(1+Request!$M27)^(Worksheet!$B$20+5)*Worksheet!$G$10)/Worksheet!$G$5*Request!$E27,0),(IF(AND(Request!$S$4="Multi",Request!$R$4="PY"),ROUND(Request!$E27*((1+Request!$M27)^4)/Worksheet!$G$5*Worksheet!$G$5,0),(IF(AND(Request!$S$4&lt;&gt;"Multi",Request!$R$4="FY"),ROUND(((1+Request!$S$4)^(Worksheet!$B$20+4)*Worksheet!$G$9+(1+Request!$S$4)^(Worksheet!$B$20+5)*Worksheet!$G$10)/Worksheet!$G$5*Request!$E27,0),ROUND(Request!$E27*((1+Request!$S$4)^4)/Worksheet!$G$5*Worksheet!$G$5,0)))))))))</f>
        <v/>
      </c>
      <c r="K347" s="238"/>
    </row>
    <row r="348" spans="1:11" x14ac:dyDescent="0.2">
      <c r="A348" s="81" t="e">
        <f>#REF!</f>
        <v>#REF!</v>
      </c>
      <c r="B348" s="237">
        <f>IF(Worksheet!$C$5=0,"",IF(AND(Request!$S$4="Multi",Request!$R$4="FY"),ROUND(((1+Request!$M28)^Worksheet!$B$20*Worksheet!$C$9+(1+Request!$M28)^(Worksheet!$B$20+1)*Worksheet!$C$10)/(Worksheet!$C$5)*Request!$E28,0),(IF(AND(Request!$S$4="Multi",Request!$R$4="PY"),ROUND(Request!$E28/(Worksheet!$C$5)*Worksheet!$C$5,0),(IF(AND(Request!$S$4&lt;&gt;"Multi",Request!$R$4="FY"),ROUND(((1+Request!$S$4)^Worksheet!$B$20*Worksheet!$C$9+(1+Request!$S$4)^(Worksheet!$B$20+1)*Worksheet!$C$10)/Worksheet!$C$5*Request!$E28,0),ROUND(Request!$E28/Worksheet!$C$5*Worksheet!$C$5,0)))))))</f>
        <v>0</v>
      </c>
      <c r="C348" s="238"/>
      <c r="D348" s="237" t="str">
        <f>IF(Worksheet!$D$5=0,"",IF($C$4=$D$4,(IF(AND(Request!$S$4="Multi",Request!$R$4="FY"),ROUND(((1+Request!$M28)^(Worksheet!$B$20)*Worksheet!$D$9+(1+Request!$M28)^(Worksheet!$B$20+1)*Worksheet!$D$10)/Worksheet!$D$5*Request!$E28,0),(IF(AND(Request!$S$4="Multi",Request!$R$4="PY"),ROUND(Request!$E28*(1+Request!$M28)/Worksheet!$D$5*Worksheet!$D$5,0),(IF(AND(Request!$S$4&lt;&gt;"Multi",Request!$R$4="FY"),ROUND(((1+Request!$S$4)^(Worksheet!$B$20)*Worksheet!$D$9+(1+Request!$S$4)^(Worksheet!$B$20+1)*Worksheet!$D$10)/Worksheet!$D$5*Request!$E28,0),ROUND(Request!$E28*(1+Request!$S$4)/Worksheet!$D$5*Worksheet!$D$5,0))))))),(IF(AND(Request!$S$4="Multi",Request!$R$4="FY"),ROUND(((1+Request!$M28)^(Worksheet!$B$20+1)*Worksheet!$D$9+(1+Request!$M28)^(Worksheet!$B$20+2)*Worksheet!$D$10)/Worksheet!$D$5*Request!$E28,0),(IF(AND(Request!$S$4="Multi",Request!$R$4="PY"),ROUND(Request!$E28*(1+Request!$M28)/Worksheet!$D$5*Worksheet!$D$5,0),(IF(AND(Request!$S$4&lt;&gt;"Multi",Request!$R$4="FY"),ROUND(((1+Request!$S$4)^(Worksheet!$B$20+1)*Worksheet!$D$9+(1+Request!$S$4)^(Worksheet!$B$20+2)*Worksheet!$D$10)/Worksheet!$D$5*Request!$E28,0),ROUND(Request!$E28*(1+Request!$S$4)/Worksheet!$D$5*Worksheet!$D$5,0)))))))))</f>
        <v/>
      </c>
      <c r="E348" s="238"/>
      <c r="F348" s="237" t="str">
        <f>IF(Worksheet!$E$5=0,"",IF($C$4=$D$4,(IF(AND(Request!$S$4="Multi",Request!$R$4="FY"),ROUND(((1+Request!$M28)^(Worksheet!$B$20+1)*Worksheet!$E$9+(1+Request!$M28)^(Worksheet!$B$20+3)*Worksheet!$E$10)/Worksheet!$E$5*Request!$E28,0),(IF(AND(Request!$S$4="Multi",Request!$R$4="PY"),ROUND(Request!$E28*((1+Request!$M28)^2)/Worksheet!$E$5*Worksheet!$E$5,0),(IF(AND(Request!$S$4&lt;&gt;"Multi",Request!$R$4="FY"),ROUND(((1+Request!$S$4)^(Worksheet!$B$20+1)*Worksheet!$E$9+(1+Request!$S$4)^(Worksheet!$B$20+2)*Worksheet!$E$10)/Worksheet!$E$5*Request!$E28,0),ROUND(Request!$E28*((1+Request!$S$4)^2)/Worksheet!$E$5*Worksheet!$E$5,0))))))),(IF(AND(Request!$S$4="Multi",Request!$R$4="FY"),ROUND(((1+Request!$M28)^(Worksheet!$B$20+2)*Worksheet!$E$9+(1+Request!$M28)^(Worksheet!$B$20+3)*Worksheet!$E$10)/Worksheet!$E$5*Request!$E28,0),(IF(AND(Request!$S$4="Multi",Request!$R$4="PY"),ROUND(Request!$E28*((1+Request!$M28)^2)/Worksheet!$E$5*Worksheet!$E$5,0),(IF(AND(Request!$S$4&lt;&gt;"Multi",Request!$R$4="FY"),ROUND(((1+Request!$S$4)^(Worksheet!$B$20+2)*Worksheet!$E$9+(1+Request!$S$4)^(Worksheet!$B$20+3)*Worksheet!$E$10)/Worksheet!$E$5*Request!$E28,0),ROUND(Request!$E28*((1+Request!$S$4)^2)/Worksheet!$E$5*Worksheet!$E$5,0)))))))))</f>
        <v/>
      </c>
      <c r="G348" s="238"/>
      <c r="H348" s="237" t="str">
        <f>IF(Worksheet!$F$5=0,"",IF($C$4=$D$4,(IF(AND(Request!$S$4="Multi",Request!$R$4="FY"),ROUND(((1+Request!$M28)^(Worksheet!$B$20+2)*Worksheet!$F$9+(1+Request!$M28)^(Worksheet!$B$20+3)*Worksheet!$F$10)/Worksheet!$F$5*Request!$E28,0),(IF(AND(Request!$S$4="Multi",Request!$R$4="PY"),ROUND(Request!$E28*((1+Request!$M28)^3)/Worksheet!$F$5*Worksheet!$F$5,0),(IF(AND(Request!$S$4&lt;&gt;"Multi",Request!$R$4="FY"),ROUND(((1+Request!$S$4)^(Worksheet!$B$20+2)*Worksheet!$F$9+(1+Request!$S$4)^(Worksheet!$B$20+3)*Worksheet!$F$10)/Worksheet!$F$5*Request!$E28,0),ROUND(Request!$E28*((1+Request!$S$4)^3)/Worksheet!$F$5*Worksheet!$F$5,0))))))),(IF(AND(Request!$S$4="Multi",Request!$R$4="FY"),ROUND(((1+Request!$M28)^(Worksheet!$B$20+3)*Worksheet!$F$9+(1+Request!$M28)^(Worksheet!$B$20+4)*Worksheet!$F$10)/Worksheet!$F$5*Request!$E28,0),(IF(AND(Request!$S$4="Multi",Request!$R$4="PY"),ROUND(Request!$E28*((1+Request!$M28)^3)/Worksheet!$F$5*Worksheet!$F$5,0),(IF(AND(Request!$S$4&lt;&gt;"Multi",Request!$R$4="FY"),ROUND(((1+Request!$S$4)^(Worksheet!$B$20+3)*Worksheet!$F$9+(1+Request!$S$4)^(Worksheet!$B$20+4)*Worksheet!$F$10)/Worksheet!$F$5*Request!$E28,0),ROUND(Request!$E28*((1+Request!$S$4)^3)/Worksheet!$F$5*Worksheet!$F$5,0)))))))))</f>
        <v/>
      </c>
      <c r="I348" s="238"/>
      <c r="J348" s="237" t="str">
        <f>IF(Worksheet!$G$5=0,"",IF($C$4=$D$4,(IF(AND(Request!$S$4="Multi",Request!$R$4="FY"),ROUND(((1+Request!$M28)^(Worksheet!$B$20+3)*Worksheet!$G$9+(1+Request!$M28)^(Worksheet!$B$20+4)*Worksheet!$G$10)/Worksheet!$G$5*Request!$E28,0),(IF(AND(Request!$S$4="Multi",Request!$R$4="PY"),ROUND(Request!$E28*((1+Request!$M28)^4)/Worksheet!$G$5*Worksheet!$G$5,0),(IF(AND(Request!$S$4&lt;&gt;"Multi",Request!$R$4="FY"),ROUND(((1+Request!$S$4)^(Worksheet!$B$20+3)*Worksheet!$G$9+(1+Request!$S$4)^(Worksheet!$B$20+4)*Worksheet!$G$10)/Worksheet!$G$5*Request!$E28,0),ROUND(Request!$E28*((1+Request!$S$4)^4)/Worksheet!$G$5*Worksheet!$G$5,0))))))),(IF(AND(Request!$S$4="Multi",Request!$R$4="FY"),ROUND(((1+Request!$M28)^(Worksheet!$B$20+4)*Worksheet!$G$9+(1+Request!$M28)^(Worksheet!$B$20+5)*Worksheet!$G$10)/Worksheet!$G$5*Request!$E28,0),(IF(AND(Request!$S$4="Multi",Request!$R$4="PY"),ROUND(Request!$E28*((1+Request!$M28)^4)/Worksheet!$G$5*Worksheet!$G$5,0),(IF(AND(Request!$S$4&lt;&gt;"Multi",Request!$R$4="FY"),ROUND(((1+Request!$S$4)^(Worksheet!$B$20+4)*Worksheet!$G$9+(1+Request!$S$4)^(Worksheet!$B$20+5)*Worksheet!$G$10)/Worksheet!$G$5*Request!$E28,0),ROUND(Request!$E28*((1+Request!$S$4)^4)/Worksheet!$G$5*Worksheet!$G$5,0)))))))))</f>
        <v/>
      </c>
      <c r="K348" s="238"/>
    </row>
    <row r="349" spans="1:11" x14ac:dyDescent="0.2">
      <c r="A349" s="81" t="e">
        <f>#REF!</f>
        <v>#REF!</v>
      </c>
      <c r="B349" s="237">
        <f>IF(Worksheet!$C$5=0,"",IF(AND(Request!$S$4="Multi",Request!$R$4="FY"),ROUND(((1+Request!$M29)^Worksheet!$B$20*Worksheet!$C$9+(1+Request!$M29)^(Worksheet!$B$20+1)*Worksheet!$C$10)/(Worksheet!$C$5)*Request!$E29,0),(IF(AND(Request!$S$4="Multi",Request!$R$4="PY"),ROUND(Request!$E29/(Worksheet!$C$5)*Worksheet!$C$5,0),(IF(AND(Request!$S$4&lt;&gt;"Multi",Request!$R$4="FY"),ROUND(((1+Request!$S$4)^Worksheet!$B$20*Worksheet!$C$9+(1+Request!$S$4)^(Worksheet!$B$20+1)*Worksheet!$C$10)/Worksheet!$C$5*Request!$E29,0),ROUND(Request!$E29/Worksheet!$C$5*Worksheet!$C$5,0)))))))</f>
        <v>0</v>
      </c>
      <c r="C349" s="238"/>
      <c r="D349" s="237" t="str">
        <f>IF(Worksheet!$D$5=0,"",IF($C$4=$D$4,(IF(AND(Request!$S$4="Multi",Request!$R$4="FY"),ROUND(((1+Request!$M29)^(Worksheet!$B$20)*Worksheet!$D$9+(1+Request!$M29)^(Worksheet!$B$20+1)*Worksheet!$D$10)/Worksheet!$D$5*Request!$E29,0),(IF(AND(Request!$S$4="Multi",Request!$R$4="PY"),ROUND(Request!$E29*(1+Request!$M29)/Worksheet!$D$5*Worksheet!$D$5,0),(IF(AND(Request!$S$4&lt;&gt;"Multi",Request!$R$4="FY"),ROUND(((1+Request!$S$4)^(Worksheet!$B$20)*Worksheet!$D$9+(1+Request!$S$4)^(Worksheet!$B$20+1)*Worksheet!$D$10)/Worksheet!$D$5*Request!$E29,0),ROUND(Request!$E29*(1+Request!$S$4)/Worksheet!$D$5*Worksheet!$D$5,0))))))),(IF(AND(Request!$S$4="Multi",Request!$R$4="FY"),ROUND(((1+Request!$M29)^(Worksheet!$B$20+1)*Worksheet!$D$9+(1+Request!$M29)^(Worksheet!$B$20+2)*Worksheet!$D$10)/Worksheet!$D$5*Request!$E29,0),(IF(AND(Request!$S$4="Multi",Request!$R$4="PY"),ROUND(Request!$E29*(1+Request!$M29)/Worksheet!$D$5*Worksheet!$D$5,0),(IF(AND(Request!$S$4&lt;&gt;"Multi",Request!$R$4="FY"),ROUND(((1+Request!$S$4)^(Worksheet!$B$20+1)*Worksheet!$D$9+(1+Request!$S$4)^(Worksheet!$B$20+2)*Worksheet!$D$10)/Worksheet!$D$5*Request!$E29,0),ROUND(Request!$E29*(1+Request!$S$4)/Worksheet!$D$5*Worksheet!$D$5,0)))))))))</f>
        <v/>
      </c>
      <c r="E349" s="238"/>
      <c r="F349" s="237" t="str">
        <f>IF(Worksheet!$E$5=0,"",IF($C$4=$D$4,(IF(AND(Request!$S$4="Multi",Request!$R$4="FY"),ROUND(((1+Request!$M29)^(Worksheet!$B$20+1)*Worksheet!$E$9+(1+Request!$M29)^(Worksheet!$B$20+3)*Worksheet!$E$10)/Worksheet!$E$5*Request!$E29,0),(IF(AND(Request!$S$4="Multi",Request!$R$4="PY"),ROUND(Request!$E29*((1+Request!$M29)^2)/Worksheet!$E$5*Worksheet!$E$5,0),(IF(AND(Request!$S$4&lt;&gt;"Multi",Request!$R$4="FY"),ROUND(((1+Request!$S$4)^(Worksheet!$B$20+1)*Worksheet!$E$9+(1+Request!$S$4)^(Worksheet!$B$20+2)*Worksheet!$E$10)/Worksheet!$E$5*Request!$E29,0),ROUND(Request!$E29*((1+Request!$S$4)^2)/Worksheet!$E$5*Worksheet!$E$5,0))))))),(IF(AND(Request!$S$4="Multi",Request!$R$4="FY"),ROUND(((1+Request!$M29)^(Worksheet!$B$20+2)*Worksheet!$E$9+(1+Request!$M29)^(Worksheet!$B$20+3)*Worksheet!$E$10)/Worksheet!$E$5*Request!$E29,0),(IF(AND(Request!$S$4="Multi",Request!$R$4="PY"),ROUND(Request!$E29*((1+Request!$M29)^2)/Worksheet!$E$5*Worksheet!$E$5,0),(IF(AND(Request!$S$4&lt;&gt;"Multi",Request!$R$4="FY"),ROUND(((1+Request!$S$4)^(Worksheet!$B$20+2)*Worksheet!$E$9+(1+Request!$S$4)^(Worksheet!$B$20+3)*Worksheet!$E$10)/Worksheet!$E$5*Request!$E29,0),ROUND(Request!$E29*((1+Request!$S$4)^2)/Worksheet!$E$5*Worksheet!$E$5,0)))))))))</f>
        <v/>
      </c>
      <c r="G349" s="238"/>
      <c r="H349" s="237" t="str">
        <f>IF(Worksheet!$F$5=0,"",IF($C$4=$D$4,(IF(AND(Request!$S$4="Multi",Request!$R$4="FY"),ROUND(((1+Request!$M29)^(Worksheet!$B$20+2)*Worksheet!$F$9+(1+Request!$M29)^(Worksheet!$B$20+3)*Worksheet!$F$10)/Worksheet!$F$5*Request!$E29,0),(IF(AND(Request!$S$4="Multi",Request!$R$4="PY"),ROUND(Request!$E29*((1+Request!$M29)^3)/Worksheet!$F$5*Worksheet!$F$5,0),(IF(AND(Request!$S$4&lt;&gt;"Multi",Request!$R$4="FY"),ROUND(((1+Request!$S$4)^(Worksheet!$B$20+2)*Worksheet!$F$9+(1+Request!$S$4)^(Worksheet!$B$20+3)*Worksheet!$F$10)/Worksheet!$F$5*Request!$E29,0),ROUND(Request!$E29*((1+Request!$S$4)^3)/Worksheet!$F$5*Worksheet!$F$5,0))))))),(IF(AND(Request!$S$4="Multi",Request!$R$4="FY"),ROUND(((1+Request!$M29)^(Worksheet!$B$20+3)*Worksheet!$F$9+(1+Request!$M29)^(Worksheet!$B$20+4)*Worksheet!$F$10)/Worksheet!$F$5*Request!$E29,0),(IF(AND(Request!$S$4="Multi",Request!$R$4="PY"),ROUND(Request!$E29*((1+Request!$M29)^3)/Worksheet!$F$5*Worksheet!$F$5,0),(IF(AND(Request!$S$4&lt;&gt;"Multi",Request!$R$4="FY"),ROUND(((1+Request!$S$4)^(Worksheet!$B$20+3)*Worksheet!$F$9+(1+Request!$S$4)^(Worksheet!$B$20+4)*Worksheet!$F$10)/Worksheet!$F$5*Request!$E29,0),ROUND(Request!$E29*((1+Request!$S$4)^3)/Worksheet!$F$5*Worksheet!$F$5,0)))))))))</f>
        <v/>
      </c>
      <c r="I349" s="238"/>
      <c r="J349" s="237" t="str">
        <f>IF(Worksheet!$G$5=0,"",IF($C$4=$D$4,(IF(AND(Request!$S$4="Multi",Request!$R$4="FY"),ROUND(((1+Request!$M29)^(Worksheet!$B$20+3)*Worksheet!$G$9+(1+Request!$M29)^(Worksheet!$B$20+4)*Worksheet!$G$10)/Worksheet!$G$5*Request!$E29,0),(IF(AND(Request!$S$4="Multi",Request!$R$4="PY"),ROUND(Request!$E29*((1+Request!$M29)^4)/Worksheet!$G$5*Worksheet!$G$5,0),(IF(AND(Request!$S$4&lt;&gt;"Multi",Request!$R$4="FY"),ROUND(((1+Request!$S$4)^(Worksheet!$B$20+3)*Worksheet!$G$9+(1+Request!$S$4)^(Worksheet!$B$20+4)*Worksheet!$G$10)/Worksheet!$G$5*Request!$E29,0),ROUND(Request!$E29*((1+Request!$S$4)^4)/Worksheet!$G$5*Worksheet!$G$5,0))))))),(IF(AND(Request!$S$4="Multi",Request!$R$4="FY"),ROUND(((1+Request!$M29)^(Worksheet!$B$20+4)*Worksheet!$G$9+(1+Request!$M29)^(Worksheet!$B$20+5)*Worksheet!$G$10)/Worksheet!$G$5*Request!$E29,0),(IF(AND(Request!$S$4="Multi",Request!$R$4="PY"),ROUND(Request!$E29*((1+Request!$M29)^4)/Worksheet!$G$5*Worksheet!$G$5,0),(IF(AND(Request!$S$4&lt;&gt;"Multi",Request!$R$4="FY"),ROUND(((1+Request!$S$4)^(Worksheet!$B$20+4)*Worksheet!$G$9+(1+Request!$S$4)^(Worksheet!$B$20+5)*Worksheet!$G$10)/Worksheet!$G$5*Request!$E29,0),ROUND(Request!$E29*((1+Request!$S$4)^4)/Worksheet!$G$5*Worksheet!$G$5,0)))))))))</f>
        <v/>
      </c>
      <c r="K349" s="238"/>
    </row>
    <row r="350" spans="1:11" x14ac:dyDescent="0.2">
      <c r="A350" s="81" t="e">
        <f>#REF!</f>
        <v>#REF!</v>
      </c>
      <c r="B350" s="237">
        <f>IF(Worksheet!$C$5=0,"",IF(AND(Request!$S$4="Multi",Request!$R$4="FY"),ROUND(((1+Request!$M30)^Worksheet!$B$20*Worksheet!$C$9+(1+Request!$M30)^(Worksheet!$B$20+1)*Worksheet!$C$10)/(Worksheet!$C$5)*Request!$E30,0),(IF(AND(Request!$S$4="Multi",Request!$R$4="PY"),ROUND(Request!$E30/(Worksheet!$C$5)*Worksheet!$C$5,0),(IF(AND(Request!$S$4&lt;&gt;"Multi",Request!$R$4="FY"),ROUND(((1+Request!$S$4)^Worksheet!$B$20*Worksheet!$C$9+(1+Request!$S$4)^(Worksheet!$B$20+1)*Worksheet!$C$10)/Worksheet!$C$5*Request!$E30,0),ROUND(Request!$E30/Worksheet!$C$5*Worksheet!$C$5,0)))))))</f>
        <v>0</v>
      </c>
      <c r="C350" s="238"/>
      <c r="D350" s="237" t="str">
        <f>IF(Worksheet!$D$5=0,"",IF($C$4=$D$4,(IF(AND(Request!$S$4="Multi",Request!$R$4="FY"),ROUND(((1+Request!$M30)^(Worksheet!$B$20)*Worksheet!$D$9+(1+Request!$M30)^(Worksheet!$B$20+1)*Worksheet!$D$10)/Worksheet!$D$5*Request!$E30,0),(IF(AND(Request!$S$4="Multi",Request!$R$4="PY"),ROUND(Request!$E30*(1+Request!$M30)/Worksheet!$D$5*Worksheet!$D$5,0),(IF(AND(Request!$S$4&lt;&gt;"Multi",Request!$R$4="FY"),ROUND(((1+Request!$S$4)^(Worksheet!$B$20)*Worksheet!$D$9+(1+Request!$S$4)^(Worksheet!$B$20+1)*Worksheet!$D$10)/Worksheet!$D$5*Request!$E30,0),ROUND(Request!$E30*(1+Request!$S$4)/Worksheet!$D$5*Worksheet!$D$5,0))))))),(IF(AND(Request!$S$4="Multi",Request!$R$4="FY"),ROUND(((1+Request!$M30)^(Worksheet!$B$20+1)*Worksheet!$D$9+(1+Request!$M30)^(Worksheet!$B$20+2)*Worksheet!$D$10)/Worksheet!$D$5*Request!$E30,0),(IF(AND(Request!$S$4="Multi",Request!$R$4="PY"),ROUND(Request!$E30*(1+Request!$M30)/Worksheet!$D$5*Worksheet!$D$5,0),(IF(AND(Request!$S$4&lt;&gt;"Multi",Request!$R$4="FY"),ROUND(((1+Request!$S$4)^(Worksheet!$B$20+1)*Worksheet!$D$9+(1+Request!$S$4)^(Worksheet!$B$20+2)*Worksheet!$D$10)/Worksheet!$D$5*Request!$E30,0),ROUND(Request!$E30*(1+Request!$S$4)/Worksheet!$D$5*Worksheet!$D$5,0)))))))))</f>
        <v/>
      </c>
      <c r="E350" s="238"/>
      <c r="F350" s="237" t="str">
        <f>IF(Worksheet!$E$5=0,"",IF($C$4=$D$4,(IF(AND(Request!$S$4="Multi",Request!$R$4="FY"),ROUND(((1+Request!$M30)^(Worksheet!$B$20+1)*Worksheet!$E$9+(1+Request!$M30)^(Worksheet!$B$20+3)*Worksheet!$E$10)/Worksheet!$E$5*Request!$E30,0),(IF(AND(Request!$S$4="Multi",Request!$R$4="PY"),ROUND(Request!$E30*((1+Request!$M30)^2)/Worksheet!$E$5*Worksheet!$E$5,0),(IF(AND(Request!$S$4&lt;&gt;"Multi",Request!$R$4="FY"),ROUND(((1+Request!$S$4)^(Worksheet!$B$20+1)*Worksheet!$E$9+(1+Request!$S$4)^(Worksheet!$B$20+2)*Worksheet!$E$10)/Worksheet!$E$5*Request!$E30,0),ROUND(Request!$E30*((1+Request!$S$4)^2)/Worksheet!$E$5*Worksheet!$E$5,0))))))),(IF(AND(Request!$S$4="Multi",Request!$R$4="FY"),ROUND(((1+Request!$M30)^(Worksheet!$B$20+2)*Worksheet!$E$9+(1+Request!$M30)^(Worksheet!$B$20+3)*Worksheet!$E$10)/Worksheet!$E$5*Request!$E30,0),(IF(AND(Request!$S$4="Multi",Request!$R$4="PY"),ROUND(Request!$E30*((1+Request!$M30)^2)/Worksheet!$E$5*Worksheet!$E$5,0),(IF(AND(Request!$S$4&lt;&gt;"Multi",Request!$R$4="FY"),ROUND(((1+Request!$S$4)^(Worksheet!$B$20+2)*Worksheet!$E$9+(1+Request!$S$4)^(Worksheet!$B$20+3)*Worksheet!$E$10)/Worksheet!$E$5*Request!$E30,0),ROUND(Request!$E30*((1+Request!$S$4)^2)/Worksheet!$E$5*Worksheet!$E$5,0)))))))))</f>
        <v/>
      </c>
      <c r="G350" s="238"/>
      <c r="H350" s="237" t="str">
        <f>IF(Worksheet!$F$5=0,"",IF($C$4=$D$4,(IF(AND(Request!$S$4="Multi",Request!$R$4="FY"),ROUND(((1+Request!$M30)^(Worksheet!$B$20+2)*Worksheet!$F$9+(1+Request!$M30)^(Worksheet!$B$20+3)*Worksheet!$F$10)/Worksheet!$F$5*Request!$E30,0),(IF(AND(Request!$S$4="Multi",Request!$R$4="PY"),ROUND(Request!$E30*((1+Request!$M30)^3)/Worksheet!$F$5*Worksheet!$F$5,0),(IF(AND(Request!$S$4&lt;&gt;"Multi",Request!$R$4="FY"),ROUND(((1+Request!$S$4)^(Worksheet!$B$20+2)*Worksheet!$F$9+(1+Request!$S$4)^(Worksheet!$B$20+3)*Worksheet!$F$10)/Worksheet!$F$5*Request!$E30,0),ROUND(Request!$E30*((1+Request!$S$4)^3)/Worksheet!$F$5*Worksheet!$F$5,0))))))),(IF(AND(Request!$S$4="Multi",Request!$R$4="FY"),ROUND(((1+Request!$M30)^(Worksheet!$B$20+3)*Worksheet!$F$9+(1+Request!$M30)^(Worksheet!$B$20+4)*Worksheet!$F$10)/Worksheet!$F$5*Request!$E30,0),(IF(AND(Request!$S$4="Multi",Request!$R$4="PY"),ROUND(Request!$E30*((1+Request!$M30)^3)/Worksheet!$F$5*Worksheet!$F$5,0),(IF(AND(Request!$S$4&lt;&gt;"Multi",Request!$R$4="FY"),ROUND(((1+Request!$S$4)^(Worksheet!$B$20+3)*Worksheet!$F$9+(1+Request!$S$4)^(Worksheet!$B$20+4)*Worksheet!$F$10)/Worksheet!$F$5*Request!$E30,0),ROUND(Request!$E30*((1+Request!$S$4)^3)/Worksheet!$F$5*Worksheet!$F$5,0)))))))))</f>
        <v/>
      </c>
      <c r="I350" s="238"/>
      <c r="J350" s="237" t="str">
        <f>IF(Worksheet!$G$5=0,"",IF($C$4=$D$4,(IF(AND(Request!$S$4="Multi",Request!$R$4="FY"),ROUND(((1+Request!$M30)^(Worksheet!$B$20+3)*Worksheet!$G$9+(1+Request!$M30)^(Worksheet!$B$20+4)*Worksheet!$G$10)/Worksheet!$G$5*Request!$E30,0),(IF(AND(Request!$S$4="Multi",Request!$R$4="PY"),ROUND(Request!$E30*((1+Request!$M30)^4)/Worksheet!$G$5*Worksheet!$G$5,0),(IF(AND(Request!$S$4&lt;&gt;"Multi",Request!$R$4="FY"),ROUND(((1+Request!$S$4)^(Worksheet!$B$20+3)*Worksheet!$G$9+(1+Request!$S$4)^(Worksheet!$B$20+4)*Worksheet!$G$10)/Worksheet!$G$5*Request!$E30,0),ROUND(Request!$E30*((1+Request!$S$4)^4)/Worksheet!$G$5*Worksheet!$G$5,0))))))),(IF(AND(Request!$S$4="Multi",Request!$R$4="FY"),ROUND(((1+Request!$M30)^(Worksheet!$B$20+4)*Worksheet!$G$9+(1+Request!$M30)^(Worksheet!$B$20+5)*Worksheet!$G$10)/Worksheet!$G$5*Request!$E30,0),(IF(AND(Request!$S$4="Multi",Request!$R$4="PY"),ROUND(Request!$E30*((1+Request!$M30)^4)/Worksheet!$G$5*Worksheet!$G$5,0),(IF(AND(Request!$S$4&lt;&gt;"Multi",Request!$R$4="FY"),ROUND(((1+Request!$S$4)^(Worksheet!$B$20+4)*Worksheet!$G$9+(1+Request!$S$4)^(Worksheet!$B$20+5)*Worksheet!$G$10)/Worksheet!$G$5*Request!$E30,0),ROUND(Request!$E30*((1+Request!$S$4)^4)/Worksheet!$G$5*Worksheet!$G$5,0)))))))))</f>
        <v/>
      </c>
      <c r="K350" s="238"/>
    </row>
    <row r="351" spans="1:11" x14ac:dyDescent="0.2">
      <c r="A351" s="81" t="e">
        <f>#REF!</f>
        <v>#REF!</v>
      </c>
      <c r="B351" s="237">
        <f>IF(Worksheet!$C$5=0,"",IF(AND(Request!$S$4="Multi",Request!$R$4="FY"),ROUND(((1+Request!$M31)^Worksheet!$B$20*Worksheet!$C$9+(1+Request!$M31)^(Worksheet!$B$20+1)*Worksheet!$C$10)/(Worksheet!$C$5)*Request!$E31,0),(IF(AND(Request!$S$4="Multi",Request!$R$4="PY"),ROUND(Request!$E31/(Worksheet!$C$5)*Worksheet!$C$5,0),(IF(AND(Request!$S$4&lt;&gt;"Multi",Request!$R$4="FY"),ROUND(((1+Request!$S$4)^Worksheet!$B$20*Worksheet!$C$9+(1+Request!$S$4)^(Worksheet!$B$20+1)*Worksheet!$C$10)/Worksheet!$C$5*Request!$E31,0),ROUND(Request!$E31/Worksheet!$C$5*Worksheet!$C$5,0)))))))</f>
        <v>0</v>
      </c>
      <c r="C351" s="238"/>
      <c r="D351" s="237" t="str">
        <f>IF(Worksheet!$D$5=0,"",IF($C$4=$D$4,(IF(AND(Request!$S$4="Multi",Request!$R$4="FY"),ROUND(((1+Request!$M31)^(Worksheet!$B$20)*Worksheet!$D$9+(1+Request!$M31)^(Worksheet!$B$20+1)*Worksheet!$D$10)/Worksheet!$D$5*Request!$E31,0),(IF(AND(Request!$S$4="Multi",Request!$R$4="PY"),ROUND(Request!$E31*(1+Request!$M31)/Worksheet!$D$5*Worksheet!$D$5,0),(IF(AND(Request!$S$4&lt;&gt;"Multi",Request!$R$4="FY"),ROUND(((1+Request!$S$4)^(Worksheet!$B$20)*Worksheet!$D$9+(1+Request!$S$4)^(Worksheet!$B$20+1)*Worksheet!$D$10)/Worksheet!$D$5*Request!$E31,0),ROUND(Request!$E31*(1+Request!$S$4)/Worksheet!$D$5*Worksheet!$D$5,0))))))),(IF(AND(Request!$S$4="Multi",Request!$R$4="FY"),ROUND(((1+Request!$M31)^(Worksheet!$B$20+1)*Worksheet!$D$9+(1+Request!$M31)^(Worksheet!$B$20+2)*Worksheet!$D$10)/Worksheet!$D$5*Request!$E31,0),(IF(AND(Request!$S$4="Multi",Request!$R$4="PY"),ROUND(Request!$E31*(1+Request!$M31)/Worksheet!$D$5*Worksheet!$D$5,0),(IF(AND(Request!$S$4&lt;&gt;"Multi",Request!$R$4="FY"),ROUND(((1+Request!$S$4)^(Worksheet!$B$20+1)*Worksheet!$D$9+(1+Request!$S$4)^(Worksheet!$B$20+2)*Worksheet!$D$10)/Worksheet!$D$5*Request!$E31,0),ROUND(Request!$E31*(1+Request!$S$4)/Worksheet!$D$5*Worksheet!$D$5,0)))))))))</f>
        <v/>
      </c>
      <c r="E351" s="238"/>
      <c r="F351" s="237" t="str">
        <f>IF(Worksheet!$E$5=0,"",IF($C$4=$D$4,(IF(AND(Request!$S$4="Multi",Request!$R$4="FY"),ROUND(((1+Request!$M31)^(Worksheet!$B$20+1)*Worksheet!$E$9+(1+Request!$M31)^(Worksheet!$B$20+3)*Worksheet!$E$10)/Worksheet!$E$5*Request!$E31,0),(IF(AND(Request!$S$4="Multi",Request!$R$4="PY"),ROUND(Request!$E31*((1+Request!$M31)^2)/Worksheet!$E$5*Worksheet!$E$5,0),(IF(AND(Request!$S$4&lt;&gt;"Multi",Request!$R$4="FY"),ROUND(((1+Request!$S$4)^(Worksheet!$B$20+1)*Worksheet!$E$9+(1+Request!$S$4)^(Worksheet!$B$20+2)*Worksheet!$E$10)/Worksheet!$E$5*Request!$E31,0),ROUND(Request!$E31*((1+Request!$S$4)^2)/Worksheet!$E$5*Worksheet!$E$5,0))))))),(IF(AND(Request!$S$4="Multi",Request!$R$4="FY"),ROUND(((1+Request!$M31)^(Worksheet!$B$20+2)*Worksheet!$E$9+(1+Request!$M31)^(Worksheet!$B$20+3)*Worksheet!$E$10)/Worksheet!$E$5*Request!$E31,0),(IF(AND(Request!$S$4="Multi",Request!$R$4="PY"),ROUND(Request!$E31*((1+Request!$M31)^2)/Worksheet!$E$5*Worksheet!$E$5,0),(IF(AND(Request!$S$4&lt;&gt;"Multi",Request!$R$4="FY"),ROUND(((1+Request!$S$4)^(Worksheet!$B$20+2)*Worksheet!$E$9+(1+Request!$S$4)^(Worksheet!$B$20+3)*Worksheet!$E$10)/Worksheet!$E$5*Request!$E31,0),ROUND(Request!$E31*((1+Request!$S$4)^2)/Worksheet!$E$5*Worksheet!$E$5,0)))))))))</f>
        <v/>
      </c>
      <c r="G351" s="238"/>
      <c r="H351" s="237" t="str">
        <f>IF(Worksheet!$F$5=0,"",IF($C$4=$D$4,(IF(AND(Request!$S$4="Multi",Request!$R$4="FY"),ROUND(((1+Request!$M31)^(Worksheet!$B$20+2)*Worksheet!$F$9+(1+Request!$M31)^(Worksheet!$B$20+3)*Worksheet!$F$10)/Worksheet!$F$5*Request!$E31,0),(IF(AND(Request!$S$4="Multi",Request!$R$4="PY"),ROUND(Request!$E31*((1+Request!$M31)^3)/Worksheet!$F$5*Worksheet!$F$5,0),(IF(AND(Request!$S$4&lt;&gt;"Multi",Request!$R$4="FY"),ROUND(((1+Request!$S$4)^(Worksheet!$B$20+2)*Worksheet!$F$9+(1+Request!$S$4)^(Worksheet!$B$20+3)*Worksheet!$F$10)/Worksheet!$F$5*Request!$E31,0),ROUND(Request!$E31*((1+Request!$S$4)^3)/Worksheet!$F$5*Worksheet!$F$5,0))))))),(IF(AND(Request!$S$4="Multi",Request!$R$4="FY"),ROUND(((1+Request!$M31)^(Worksheet!$B$20+3)*Worksheet!$F$9+(1+Request!$M31)^(Worksheet!$B$20+4)*Worksheet!$F$10)/Worksheet!$F$5*Request!$E31,0),(IF(AND(Request!$S$4="Multi",Request!$R$4="PY"),ROUND(Request!$E31*((1+Request!$M31)^3)/Worksheet!$F$5*Worksheet!$F$5,0),(IF(AND(Request!$S$4&lt;&gt;"Multi",Request!$R$4="FY"),ROUND(((1+Request!$S$4)^(Worksheet!$B$20+3)*Worksheet!$F$9+(1+Request!$S$4)^(Worksheet!$B$20+4)*Worksheet!$F$10)/Worksheet!$F$5*Request!$E31,0),ROUND(Request!$E31*((1+Request!$S$4)^3)/Worksheet!$F$5*Worksheet!$F$5,0)))))))))</f>
        <v/>
      </c>
      <c r="I351" s="238"/>
      <c r="J351" s="237" t="str">
        <f>IF(Worksheet!$G$5=0,"",IF($C$4=$D$4,(IF(AND(Request!$S$4="Multi",Request!$R$4="FY"),ROUND(((1+Request!$M31)^(Worksheet!$B$20+3)*Worksheet!$G$9+(1+Request!$M31)^(Worksheet!$B$20+4)*Worksheet!$G$10)/Worksheet!$G$5*Request!$E31,0),(IF(AND(Request!$S$4="Multi",Request!$R$4="PY"),ROUND(Request!$E31*((1+Request!$M31)^4)/Worksheet!$G$5*Worksheet!$G$5,0),(IF(AND(Request!$S$4&lt;&gt;"Multi",Request!$R$4="FY"),ROUND(((1+Request!$S$4)^(Worksheet!$B$20+3)*Worksheet!$G$9+(1+Request!$S$4)^(Worksheet!$B$20+4)*Worksheet!$G$10)/Worksheet!$G$5*Request!$E31,0),ROUND(Request!$E31*((1+Request!$S$4)^4)/Worksheet!$G$5*Worksheet!$G$5,0))))))),(IF(AND(Request!$S$4="Multi",Request!$R$4="FY"),ROUND(((1+Request!$M31)^(Worksheet!$B$20+4)*Worksheet!$G$9+(1+Request!$M31)^(Worksheet!$B$20+5)*Worksheet!$G$10)/Worksheet!$G$5*Request!$E31,0),(IF(AND(Request!$S$4="Multi",Request!$R$4="PY"),ROUND(Request!$E31*((1+Request!$M31)^4)/Worksheet!$G$5*Worksheet!$G$5,0),(IF(AND(Request!$S$4&lt;&gt;"Multi",Request!$R$4="FY"),ROUND(((1+Request!$S$4)^(Worksheet!$B$20+4)*Worksheet!$G$9+(1+Request!$S$4)^(Worksheet!$B$20+5)*Worksheet!$G$10)/Worksheet!$G$5*Request!$E31,0),ROUND(Request!$E31*((1+Request!$S$4)^4)/Worksheet!$G$5*Worksheet!$G$5,0)))))))))</f>
        <v/>
      </c>
      <c r="K351" s="238"/>
    </row>
    <row r="353" spans="1:11" x14ac:dyDescent="0.2">
      <c r="A353" s="79" t="s">
        <v>170</v>
      </c>
      <c r="B353" s="232" t="s">
        <v>129</v>
      </c>
      <c r="C353" s="232"/>
      <c r="D353" s="232" t="s">
        <v>130</v>
      </c>
      <c r="E353" s="232"/>
      <c r="F353" s="232" t="s">
        <v>131</v>
      </c>
      <c r="G353" s="232"/>
      <c r="H353" s="232" t="s">
        <v>134</v>
      </c>
      <c r="I353" s="232"/>
      <c r="J353" s="232" t="s">
        <v>132</v>
      </c>
      <c r="K353" s="232"/>
    </row>
    <row r="354" spans="1:11" x14ac:dyDescent="0.2">
      <c r="A354" s="81"/>
      <c r="B354" s="239">
        <f>IF(B328="","",ROUND(B328/12*9,0))</f>
        <v>142500</v>
      </c>
      <c r="C354" s="238"/>
      <c r="D354" s="239" t="str">
        <f>IF(D328="","",ROUND(D328/12*9,0))</f>
        <v/>
      </c>
      <c r="E354" s="238"/>
      <c r="F354" s="239" t="str">
        <f>IF(F328="","",ROUND(F328/12*9,0))</f>
        <v/>
      </c>
      <c r="G354" s="238"/>
      <c r="H354" s="239" t="str">
        <f>IF(H328="","",ROUND(H328/12*9,0))</f>
        <v/>
      </c>
      <c r="I354" s="238"/>
      <c r="J354" s="239" t="str">
        <f>IF(J328="","",ROUND(J328/12*9,0))</f>
        <v/>
      </c>
      <c r="K354" s="238"/>
    </row>
    <row r="355" spans="1:11" x14ac:dyDescent="0.2">
      <c r="A355" s="81"/>
      <c r="B355" s="239">
        <f t="shared" ref="B355:B377" si="78">IF(B329="","",ROUND(B329/12*9,0))</f>
        <v>56250</v>
      </c>
      <c r="C355" s="238"/>
      <c r="D355" s="239" t="str">
        <f t="shared" ref="D355:D377" si="79">IF(D329="","",ROUND(D329/12*9,0))</f>
        <v/>
      </c>
      <c r="E355" s="238"/>
      <c r="F355" s="239" t="str">
        <f t="shared" ref="F355:F377" si="80">IF(F329="","",ROUND(F329/12*9,0))</f>
        <v/>
      </c>
      <c r="G355" s="238"/>
      <c r="H355" s="239" t="str">
        <f t="shared" ref="H355:H377" si="81">IF(H329="","",ROUND(H329/12*9,0))</f>
        <v/>
      </c>
      <c r="I355" s="238"/>
      <c r="J355" s="239" t="str">
        <f t="shared" ref="J355:J377" si="82">IF(J329="","",ROUND(J329/12*9,0))</f>
        <v/>
      </c>
      <c r="K355" s="238"/>
    </row>
    <row r="356" spans="1:11" x14ac:dyDescent="0.2">
      <c r="A356" s="81"/>
      <c r="B356" s="239">
        <f t="shared" si="78"/>
        <v>37500</v>
      </c>
      <c r="C356" s="238"/>
      <c r="D356" s="239" t="str">
        <f t="shared" si="79"/>
        <v/>
      </c>
      <c r="E356" s="238"/>
      <c r="F356" s="239" t="str">
        <f t="shared" si="80"/>
        <v/>
      </c>
      <c r="G356" s="238"/>
      <c r="H356" s="239" t="str">
        <f t="shared" si="81"/>
        <v/>
      </c>
      <c r="I356" s="238"/>
      <c r="J356" s="239" t="str">
        <f t="shared" si="82"/>
        <v/>
      </c>
      <c r="K356" s="238"/>
    </row>
    <row r="357" spans="1:11" x14ac:dyDescent="0.2">
      <c r="A357" s="81"/>
      <c r="B357" s="239">
        <f t="shared" si="78"/>
        <v>18750</v>
      </c>
      <c r="C357" s="238"/>
      <c r="D357" s="239" t="str">
        <f t="shared" si="79"/>
        <v/>
      </c>
      <c r="E357" s="238"/>
      <c r="F357" s="239" t="str">
        <f t="shared" si="80"/>
        <v/>
      </c>
      <c r="G357" s="238"/>
      <c r="H357" s="239" t="str">
        <f t="shared" si="81"/>
        <v/>
      </c>
      <c r="I357" s="238"/>
      <c r="J357" s="239" t="str">
        <f t="shared" si="82"/>
        <v/>
      </c>
      <c r="K357" s="238"/>
    </row>
    <row r="358" spans="1:11" x14ac:dyDescent="0.2">
      <c r="A358" s="81"/>
      <c r="B358" s="239">
        <f t="shared" si="78"/>
        <v>0</v>
      </c>
      <c r="C358" s="238"/>
      <c r="D358" s="239" t="str">
        <f t="shared" si="79"/>
        <v/>
      </c>
      <c r="E358" s="238"/>
      <c r="F358" s="239" t="str">
        <f t="shared" si="80"/>
        <v/>
      </c>
      <c r="G358" s="238"/>
      <c r="H358" s="239" t="str">
        <f t="shared" si="81"/>
        <v/>
      </c>
      <c r="I358" s="238"/>
      <c r="J358" s="239" t="str">
        <f t="shared" si="82"/>
        <v/>
      </c>
      <c r="K358" s="238"/>
    </row>
    <row r="359" spans="1:11" x14ac:dyDescent="0.2">
      <c r="A359" s="81"/>
      <c r="B359" s="239">
        <f t="shared" si="78"/>
        <v>0</v>
      </c>
      <c r="C359" s="238"/>
      <c r="D359" s="239" t="str">
        <f t="shared" si="79"/>
        <v/>
      </c>
      <c r="E359" s="238"/>
      <c r="F359" s="239" t="str">
        <f t="shared" si="80"/>
        <v/>
      </c>
      <c r="G359" s="238"/>
      <c r="H359" s="239" t="str">
        <f t="shared" si="81"/>
        <v/>
      </c>
      <c r="I359" s="238"/>
      <c r="J359" s="239" t="str">
        <f t="shared" si="82"/>
        <v/>
      </c>
      <c r="K359" s="238"/>
    </row>
    <row r="360" spans="1:11" x14ac:dyDescent="0.2">
      <c r="A360" s="81"/>
      <c r="B360" s="239">
        <f t="shared" si="78"/>
        <v>0</v>
      </c>
      <c r="C360" s="238"/>
      <c r="D360" s="239" t="str">
        <f t="shared" si="79"/>
        <v/>
      </c>
      <c r="E360" s="238"/>
      <c r="F360" s="239" t="str">
        <f t="shared" si="80"/>
        <v/>
      </c>
      <c r="G360" s="238"/>
      <c r="H360" s="239" t="str">
        <f t="shared" si="81"/>
        <v/>
      </c>
      <c r="I360" s="238"/>
      <c r="J360" s="239" t="str">
        <f t="shared" si="82"/>
        <v/>
      </c>
      <c r="K360" s="238"/>
    </row>
    <row r="361" spans="1:11" x14ac:dyDescent="0.2">
      <c r="A361" s="81"/>
      <c r="B361" s="239">
        <f t="shared" si="78"/>
        <v>0</v>
      </c>
      <c r="C361" s="238"/>
      <c r="D361" s="239" t="str">
        <f t="shared" si="79"/>
        <v/>
      </c>
      <c r="E361" s="238"/>
      <c r="F361" s="239" t="str">
        <f t="shared" si="80"/>
        <v/>
      </c>
      <c r="G361" s="238"/>
      <c r="H361" s="239" t="str">
        <f t="shared" si="81"/>
        <v/>
      </c>
      <c r="I361" s="238"/>
      <c r="J361" s="239" t="str">
        <f t="shared" si="82"/>
        <v/>
      </c>
      <c r="K361" s="238"/>
    </row>
    <row r="362" spans="1:11" x14ac:dyDescent="0.2">
      <c r="A362" s="81"/>
      <c r="B362" s="239">
        <f t="shared" si="78"/>
        <v>0</v>
      </c>
      <c r="C362" s="238"/>
      <c r="D362" s="239" t="str">
        <f t="shared" si="79"/>
        <v/>
      </c>
      <c r="E362" s="238"/>
      <c r="F362" s="239" t="str">
        <f t="shared" si="80"/>
        <v/>
      </c>
      <c r="G362" s="238"/>
      <c r="H362" s="239" t="str">
        <f t="shared" si="81"/>
        <v/>
      </c>
      <c r="I362" s="238"/>
      <c r="J362" s="239" t="str">
        <f t="shared" si="82"/>
        <v/>
      </c>
      <c r="K362" s="238"/>
    </row>
    <row r="363" spans="1:11" x14ac:dyDescent="0.2">
      <c r="A363" s="81"/>
      <c r="B363" s="239">
        <f t="shared" si="78"/>
        <v>0</v>
      </c>
      <c r="C363" s="238"/>
      <c r="D363" s="239" t="str">
        <f t="shared" si="79"/>
        <v/>
      </c>
      <c r="E363" s="238"/>
      <c r="F363" s="239" t="str">
        <f t="shared" si="80"/>
        <v/>
      </c>
      <c r="G363" s="238"/>
      <c r="H363" s="239" t="str">
        <f t="shared" si="81"/>
        <v/>
      </c>
      <c r="I363" s="238"/>
      <c r="J363" s="239" t="str">
        <f t="shared" si="82"/>
        <v/>
      </c>
      <c r="K363" s="238"/>
    </row>
    <row r="364" spans="1:11" x14ac:dyDescent="0.2">
      <c r="A364" s="81"/>
      <c r="B364" s="239">
        <f t="shared" si="78"/>
        <v>0</v>
      </c>
      <c r="C364" s="238"/>
      <c r="D364" s="239" t="str">
        <f t="shared" si="79"/>
        <v/>
      </c>
      <c r="E364" s="238"/>
      <c r="F364" s="239" t="str">
        <f t="shared" si="80"/>
        <v/>
      </c>
      <c r="G364" s="238"/>
      <c r="H364" s="239" t="str">
        <f t="shared" si="81"/>
        <v/>
      </c>
      <c r="I364" s="238"/>
      <c r="J364" s="239" t="str">
        <f t="shared" si="82"/>
        <v/>
      </c>
      <c r="K364" s="238"/>
    </row>
    <row r="365" spans="1:11" x14ac:dyDescent="0.2">
      <c r="A365" s="81"/>
      <c r="B365" s="239">
        <f t="shared" si="78"/>
        <v>0</v>
      </c>
      <c r="C365" s="238"/>
      <c r="D365" s="239" t="str">
        <f t="shared" si="79"/>
        <v/>
      </c>
      <c r="E365" s="238"/>
      <c r="F365" s="239" t="str">
        <f t="shared" si="80"/>
        <v/>
      </c>
      <c r="G365" s="238"/>
      <c r="H365" s="239" t="str">
        <f t="shared" si="81"/>
        <v/>
      </c>
      <c r="I365" s="238"/>
      <c r="J365" s="239" t="str">
        <f t="shared" si="82"/>
        <v/>
      </c>
      <c r="K365" s="238"/>
    </row>
    <row r="366" spans="1:11" x14ac:dyDescent="0.2">
      <c r="A366" s="81"/>
      <c r="B366" s="239">
        <f t="shared" si="78"/>
        <v>0</v>
      </c>
      <c r="C366" s="238"/>
      <c r="D366" s="239" t="str">
        <f t="shared" si="79"/>
        <v/>
      </c>
      <c r="E366" s="238"/>
      <c r="F366" s="239" t="str">
        <f t="shared" si="80"/>
        <v/>
      </c>
      <c r="G366" s="238"/>
      <c r="H366" s="239" t="str">
        <f t="shared" si="81"/>
        <v/>
      </c>
      <c r="I366" s="238"/>
      <c r="J366" s="239" t="str">
        <f t="shared" si="82"/>
        <v/>
      </c>
      <c r="K366" s="238"/>
    </row>
    <row r="367" spans="1:11" x14ac:dyDescent="0.2">
      <c r="A367" s="81"/>
      <c r="B367" s="239">
        <f t="shared" si="78"/>
        <v>0</v>
      </c>
      <c r="C367" s="238"/>
      <c r="D367" s="239" t="str">
        <f t="shared" si="79"/>
        <v/>
      </c>
      <c r="E367" s="238"/>
      <c r="F367" s="239" t="str">
        <f t="shared" si="80"/>
        <v/>
      </c>
      <c r="G367" s="238"/>
      <c r="H367" s="239" t="str">
        <f t="shared" si="81"/>
        <v/>
      </c>
      <c r="I367" s="238"/>
      <c r="J367" s="239" t="str">
        <f t="shared" si="82"/>
        <v/>
      </c>
      <c r="K367" s="238"/>
    </row>
    <row r="368" spans="1:11" x14ac:dyDescent="0.2">
      <c r="A368" s="81"/>
      <c r="B368" s="239">
        <f t="shared" si="78"/>
        <v>0</v>
      </c>
      <c r="C368" s="238"/>
      <c r="D368" s="239" t="str">
        <f t="shared" si="79"/>
        <v/>
      </c>
      <c r="E368" s="238"/>
      <c r="F368" s="239" t="str">
        <f t="shared" si="80"/>
        <v/>
      </c>
      <c r="G368" s="238"/>
      <c r="H368" s="239" t="str">
        <f t="shared" si="81"/>
        <v/>
      </c>
      <c r="I368" s="238"/>
      <c r="J368" s="239" t="str">
        <f t="shared" si="82"/>
        <v/>
      </c>
      <c r="K368" s="238"/>
    </row>
    <row r="369" spans="1:11" x14ac:dyDescent="0.2">
      <c r="A369" s="81"/>
      <c r="B369" s="239">
        <f t="shared" si="78"/>
        <v>0</v>
      </c>
      <c r="C369" s="238"/>
      <c r="D369" s="239" t="str">
        <f t="shared" si="79"/>
        <v/>
      </c>
      <c r="E369" s="238"/>
      <c r="F369" s="239" t="str">
        <f t="shared" si="80"/>
        <v/>
      </c>
      <c r="G369" s="238"/>
      <c r="H369" s="239" t="str">
        <f t="shared" si="81"/>
        <v/>
      </c>
      <c r="I369" s="238"/>
      <c r="J369" s="239" t="str">
        <f t="shared" si="82"/>
        <v/>
      </c>
      <c r="K369" s="238"/>
    </row>
    <row r="370" spans="1:11" x14ac:dyDescent="0.2">
      <c r="A370" s="81"/>
      <c r="B370" s="239">
        <f t="shared" si="78"/>
        <v>0</v>
      </c>
      <c r="C370" s="238"/>
      <c r="D370" s="239" t="str">
        <f t="shared" si="79"/>
        <v/>
      </c>
      <c r="E370" s="238"/>
      <c r="F370" s="239" t="str">
        <f t="shared" si="80"/>
        <v/>
      </c>
      <c r="G370" s="238"/>
      <c r="H370" s="239" t="str">
        <f t="shared" si="81"/>
        <v/>
      </c>
      <c r="I370" s="238"/>
      <c r="J370" s="239" t="str">
        <f t="shared" si="82"/>
        <v/>
      </c>
      <c r="K370" s="238"/>
    </row>
    <row r="371" spans="1:11" x14ac:dyDescent="0.2">
      <c r="A371" s="81"/>
      <c r="B371" s="239">
        <f t="shared" si="78"/>
        <v>0</v>
      </c>
      <c r="C371" s="238"/>
      <c r="D371" s="239" t="str">
        <f t="shared" si="79"/>
        <v/>
      </c>
      <c r="E371" s="238"/>
      <c r="F371" s="239" t="str">
        <f t="shared" si="80"/>
        <v/>
      </c>
      <c r="G371" s="238"/>
      <c r="H371" s="239" t="str">
        <f t="shared" si="81"/>
        <v/>
      </c>
      <c r="I371" s="238"/>
      <c r="J371" s="239" t="str">
        <f t="shared" si="82"/>
        <v/>
      </c>
      <c r="K371" s="238"/>
    </row>
    <row r="372" spans="1:11" x14ac:dyDescent="0.2">
      <c r="A372" s="81"/>
      <c r="B372" s="239">
        <f t="shared" si="78"/>
        <v>0</v>
      </c>
      <c r="C372" s="238"/>
      <c r="D372" s="239" t="str">
        <f t="shared" si="79"/>
        <v/>
      </c>
      <c r="E372" s="238"/>
      <c r="F372" s="239" t="str">
        <f t="shared" si="80"/>
        <v/>
      </c>
      <c r="G372" s="238"/>
      <c r="H372" s="239" t="str">
        <f t="shared" si="81"/>
        <v/>
      </c>
      <c r="I372" s="238"/>
      <c r="J372" s="239" t="str">
        <f t="shared" si="82"/>
        <v/>
      </c>
      <c r="K372" s="238"/>
    </row>
    <row r="373" spans="1:11" x14ac:dyDescent="0.2">
      <c r="A373" s="81"/>
      <c r="B373" s="239">
        <f t="shared" si="78"/>
        <v>0</v>
      </c>
      <c r="C373" s="238"/>
      <c r="D373" s="239" t="str">
        <f t="shared" si="79"/>
        <v/>
      </c>
      <c r="E373" s="238"/>
      <c r="F373" s="239" t="str">
        <f t="shared" si="80"/>
        <v/>
      </c>
      <c r="G373" s="238"/>
      <c r="H373" s="239" t="str">
        <f t="shared" si="81"/>
        <v/>
      </c>
      <c r="I373" s="238"/>
      <c r="J373" s="239" t="str">
        <f t="shared" si="82"/>
        <v/>
      </c>
      <c r="K373" s="238"/>
    </row>
    <row r="374" spans="1:11" x14ac:dyDescent="0.2">
      <c r="A374" s="81"/>
      <c r="B374" s="239">
        <f t="shared" si="78"/>
        <v>0</v>
      </c>
      <c r="C374" s="238"/>
      <c r="D374" s="239" t="str">
        <f t="shared" si="79"/>
        <v/>
      </c>
      <c r="E374" s="238"/>
      <c r="F374" s="239" t="str">
        <f t="shared" si="80"/>
        <v/>
      </c>
      <c r="G374" s="238"/>
      <c r="H374" s="239" t="str">
        <f t="shared" si="81"/>
        <v/>
      </c>
      <c r="I374" s="238"/>
      <c r="J374" s="239" t="str">
        <f t="shared" si="82"/>
        <v/>
      </c>
      <c r="K374" s="238"/>
    </row>
    <row r="375" spans="1:11" x14ac:dyDescent="0.2">
      <c r="A375" s="81"/>
      <c r="B375" s="239">
        <f t="shared" si="78"/>
        <v>0</v>
      </c>
      <c r="C375" s="238"/>
      <c r="D375" s="239" t="str">
        <f t="shared" si="79"/>
        <v/>
      </c>
      <c r="E375" s="238"/>
      <c r="F375" s="239" t="str">
        <f t="shared" si="80"/>
        <v/>
      </c>
      <c r="G375" s="238"/>
      <c r="H375" s="239" t="str">
        <f t="shared" si="81"/>
        <v/>
      </c>
      <c r="I375" s="238"/>
      <c r="J375" s="239" t="str">
        <f t="shared" si="82"/>
        <v/>
      </c>
      <c r="K375" s="238"/>
    </row>
    <row r="376" spans="1:11" x14ac:dyDescent="0.2">
      <c r="A376" s="81"/>
      <c r="B376" s="239">
        <f t="shared" si="78"/>
        <v>0</v>
      </c>
      <c r="C376" s="238"/>
      <c r="D376" s="239" t="str">
        <f t="shared" si="79"/>
        <v/>
      </c>
      <c r="E376" s="238"/>
      <c r="F376" s="239" t="str">
        <f t="shared" si="80"/>
        <v/>
      </c>
      <c r="G376" s="238"/>
      <c r="H376" s="239" t="str">
        <f t="shared" si="81"/>
        <v/>
      </c>
      <c r="I376" s="238"/>
      <c r="J376" s="239" t="str">
        <f t="shared" si="82"/>
        <v/>
      </c>
      <c r="K376" s="238"/>
    </row>
    <row r="377" spans="1:11" x14ac:dyDescent="0.2">
      <c r="A377" s="81"/>
      <c r="B377" s="239">
        <f t="shared" si="78"/>
        <v>0</v>
      </c>
      <c r="C377" s="238"/>
      <c r="D377" s="239" t="str">
        <f t="shared" si="79"/>
        <v/>
      </c>
      <c r="E377" s="238"/>
      <c r="F377" s="239" t="str">
        <f t="shared" si="80"/>
        <v/>
      </c>
      <c r="G377" s="238"/>
      <c r="H377" s="239" t="str">
        <f t="shared" si="81"/>
        <v/>
      </c>
      <c r="I377" s="238"/>
      <c r="J377" s="239" t="str">
        <f t="shared" si="82"/>
        <v/>
      </c>
      <c r="K377" s="238"/>
    </row>
    <row r="379" spans="1:11" x14ac:dyDescent="0.2">
      <c r="A379" s="79" t="s">
        <v>169</v>
      </c>
      <c r="B379" s="232" t="s">
        <v>129</v>
      </c>
      <c r="C379" s="232"/>
      <c r="D379" s="232" t="s">
        <v>130</v>
      </c>
      <c r="E379" s="232"/>
      <c r="F379" s="232" t="s">
        <v>131</v>
      </c>
      <c r="G379" s="232"/>
      <c r="H379" s="232" t="s">
        <v>134</v>
      </c>
      <c r="I379" s="232"/>
      <c r="J379" s="232" t="s">
        <v>132</v>
      </c>
      <c r="K379" s="232"/>
    </row>
    <row r="380" spans="1:11" x14ac:dyDescent="0.2">
      <c r="A380" s="81"/>
      <c r="B380" s="239">
        <f>IF(B328="","",B328/12*11)</f>
        <v>174166.66666666669</v>
      </c>
      <c r="C380" s="238"/>
      <c r="D380" s="239" t="str">
        <f>IF(D328="","",D328/12*11)</f>
        <v/>
      </c>
      <c r="E380" s="238"/>
      <c r="F380" s="239" t="str">
        <f>IF(F328="","",F328/12*11)</f>
        <v/>
      </c>
      <c r="G380" s="238"/>
      <c r="H380" s="239" t="str">
        <f>IF(H328="","",H328/12*11)</f>
        <v/>
      </c>
      <c r="I380" s="238"/>
      <c r="J380" s="239" t="str">
        <f>IF(J328="","",J328/12*11)</f>
        <v/>
      </c>
      <c r="K380" s="238"/>
    </row>
    <row r="381" spans="1:11" x14ac:dyDescent="0.2">
      <c r="A381" s="81"/>
      <c r="B381" s="239">
        <f t="shared" ref="B381:B403" si="83">IF(B329="","",B329/12*11)</f>
        <v>68750</v>
      </c>
      <c r="C381" s="238"/>
      <c r="D381" s="239" t="str">
        <f t="shared" ref="D381:D403" si="84">IF(D329="","",D329/12*11)</f>
        <v/>
      </c>
      <c r="E381" s="238"/>
      <c r="F381" s="239" t="str">
        <f t="shared" ref="F381:F403" si="85">IF(F329="","",F329/12*11)</f>
        <v/>
      </c>
      <c r="G381" s="238"/>
      <c r="H381" s="239" t="str">
        <f t="shared" ref="H381:H403" si="86">IF(H329="","",H329/12*11)</f>
        <v/>
      </c>
      <c r="I381" s="238"/>
      <c r="J381" s="239" t="str">
        <f t="shared" ref="J381:J403" si="87">IF(J329="","",J329/12*11)</f>
        <v/>
      </c>
      <c r="K381" s="238"/>
    </row>
    <row r="382" spans="1:11" x14ac:dyDescent="0.2">
      <c r="A382" s="81"/>
      <c r="B382" s="239">
        <f t="shared" si="83"/>
        <v>45833.333333333336</v>
      </c>
      <c r="C382" s="238"/>
      <c r="D382" s="239" t="str">
        <f t="shared" si="84"/>
        <v/>
      </c>
      <c r="E382" s="238"/>
      <c r="F382" s="239" t="str">
        <f t="shared" si="85"/>
        <v/>
      </c>
      <c r="G382" s="238"/>
      <c r="H382" s="239" t="str">
        <f t="shared" si="86"/>
        <v/>
      </c>
      <c r="I382" s="238"/>
      <c r="J382" s="239" t="str">
        <f t="shared" si="87"/>
        <v/>
      </c>
      <c r="K382" s="238"/>
    </row>
    <row r="383" spans="1:11" x14ac:dyDescent="0.2">
      <c r="A383" s="81"/>
      <c r="B383" s="239">
        <f t="shared" si="83"/>
        <v>22916.666666666668</v>
      </c>
      <c r="C383" s="238"/>
      <c r="D383" s="239" t="str">
        <f t="shared" si="84"/>
        <v/>
      </c>
      <c r="E383" s="238"/>
      <c r="F383" s="239" t="str">
        <f t="shared" si="85"/>
        <v/>
      </c>
      <c r="G383" s="238"/>
      <c r="H383" s="239" t="str">
        <f t="shared" si="86"/>
        <v/>
      </c>
      <c r="I383" s="238"/>
      <c r="J383" s="239" t="str">
        <f t="shared" si="87"/>
        <v/>
      </c>
      <c r="K383" s="238"/>
    </row>
    <row r="384" spans="1:11" x14ac:dyDescent="0.2">
      <c r="A384" s="81"/>
      <c r="B384" s="239">
        <f t="shared" si="83"/>
        <v>0</v>
      </c>
      <c r="C384" s="238"/>
      <c r="D384" s="239" t="str">
        <f t="shared" si="84"/>
        <v/>
      </c>
      <c r="E384" s="238"/>
      <c r="F384" s="239" t="str">
        <f t="shared" si="85"/>
        <v/>
      </c>
      <c r="G384" s="238"/>
      <c r="H384" s="239" t="str">
        <f t="shared" si="86"/>
        <v/>
      </c>
      <c r="I384" s="238"/>
      <c r="J384" s="239" t="str">
        <f t="shared" si="87"/>
        <v/>
      </c>
      <c r="K384" s="238"/>
    </row>
    <row r="385" spans="1:11" x14ac:dyDescent="0.2">
      <c r="A385" s="81"/>
      <c r="B385" s="239">
        <f t="shared" si="83"/>
        <v>0</v>
      </c>
      <c r="C385" s="238"/>
      <c r="D385" s="239" t="str">
        <f t="shared" si="84"/>
        <v/>
      </c>
      <c r="E385" s="238"/>
      <c r="F385" s="239" t="str">
        <f t="shared" si="85"/>
        <v/>
      </c>
      <c r="G385" s="238"/>
      <c r="H385" s="239" t="str">
        <f t="shared" si="86"/>
        <v/>
      </c>
      <c r="I385" s="238"/>
      <c r="J385" s="239" t="str">
        <f t="shared" si="87"/>
        <v/>
      </c>
      <c r="K385" s="238"/>
    </row>
    <row r="386" spans="1:11" x14ac:dyDescent="0.2">
      <c r="A386" s="81"/>
      <c r="B386" s="239">
        <f t="shared" si="83"/>
        <v>0</v>
      </c>
      <c r="C386" s="238"/>
      <c r="D386" s="239" t="str">
        <f t="shared" si="84"/>
        <v/>
      </c>
      <c r="E386" s="238"/>
      <c r="F386" s="239" t="str">
        <f t="shared" si="85"/>
        <v/>
      </c>
      <c r="G386" s="238"/>
      <c r="H386" s="239" t="str">
        <f t="shared" si="86"/>
        <v/>
      </c>
      <c r="I386" s="238"/>
      <c r="J386" s="239" t="str">
        <f t="shared" si="87"/>
        <v/>
      </c>
      <c r="K386" s="238"/>
    </row>
    <row r="387" spans="1:11" x14ac:dyDescent="0.2">
      <c r="A387" s="81"/>
      <c r="B387" s="239">
        <f t="shared" si="83"/>
        <v>0</v>
      </c>
      <c r="C387" s="238"/>
      <c r="D387" s="239" t="str">
        <f t="shared" si="84"/>
        <v/>
      </c>
      <c r="E387" s="238"/>
      <c r="F387" s="239" t="str">
        <f t="shared" si="85"/>
        <v/>
      </c>
      <c r="G387" s="238"/>
      <c r="H387" s="239" t="str">
        <f t="shared" si="86"/>
        <v/>
      </c>
      <c r="I387" s="238"/>
      <c r="J387" s="239" t="str">
        <f t="shared" si="87"/>
        <v/>
      </c>
      <c r="K387" s="238"/>
    </row>
    <row r="388" spans="1:11" x14ac:dyDescent="0.2">
      <c r="A388" s="81"/>
      <c r="B388" s="239">
        <f t="shared" si="83"/>
        <v>0</v>
      </c>
      <c r="C388" s="238"/>
      <c r="D388" s="239" t="str">
        <f t="shared" si="84"/>
        <v/>
      </c>
      <c r="E388" s="238"/>
      <c r="F388" s="239" t="str">
        <f t="shared" si="85"/>
        <v/>
      </c>
      <c r="G388" s="238"/>
      <c r="H388" s="239" t="str">
        <f t="shared" si="86"/>
        <v/>
      </c>
      <c r="I388" s="238"/>
      <c r="J388" s="239" t="str">
        <f t="shared" si="87"/>
        <v/>
      </c>
      <c r="K388" s="238"/>
    </row>
    <row r="389" spans="1:11" x14ac:dyDescent="0.2">
      <c r="A389" s="81"/>
      <c r="B389" s="239">
        <f t="shared" si="83"/>
        <v>0</v>
      </c>
      <c r="C389" s="238"/>
      <c r="D389" s="239" t="str">
        <f t="shared" si="84"/>
        <v/>
      </c>
      <c r="E389" s="238"/>
      <c r="F389" s="239" t="str">
        <f t="shared" si="85"/>
        <v/>
      </c>
      <c r="G389" s="238"/>
      <c r="H389" s="239" t="str">
        <f t="shared" si="86"/>
        <v/>
      </c>
      <c r="I389" s="238"/>
      <c r="J389" s="239" t="str">
        <f t="shared" si="87"/>
        <v/>
      </c>
      <c r="K389" s="238"/>
    </row>
    <row r="390" spans="1:11" x14ac:dyDescent="0.2">
      <c r="A390" s="81"/>
      <c r="B390" s="239">
        <f t="shared" si="83"/>
        <v>0</v>
      </c>
      <c r="C390" s="238"/>
      <c r="D390" s="239" t="str">
        <f t="shared" si="84"/>
        <v/>
      </c>
      <c r="E390" s="238"/>
      <c r="F390" s="239" t="str">
        <f t="shared" si="85"/>
        <v/>
      </c>
      <c r="G390" s="238"/>
      <c r="H390" s="239" t="str">
        <f t="shared" si="86"/>
        <v/>
      </c>
      <c r="I390" s="238"/>
      <c r="J390" s="239" t="str">
        <f t="shared" si="87"/>
        <v/>
      </c>
      <c r="K390" s="238"/>
    </row>
    <row r="391" spans="1:11" x14ac:dyDescent="0.2">
      <c r="A391" s="81"/>
      <c r="B391" s="239">
        <f t="shared" si="83"/>
        <v>0</v>
      </c>
      <c r="C391" s="238"/>
      <c r="D391" s="239" t="str">
        <f t="shared" si="84"/>
        <v/>
      </c>
      <c r="E391" s="238"/>
      <c r="F391" s="239" t="str">
        <f t="shared" si="85"/>
        <v/>
      </c>
      <c r="G391" s="238"/>
      <c r="H391" s="239" t="str">
        <f t="shared" si="86"/>
        <v/>
      </c>
      <c r="I391" s="238"/>
      <c r="J391" s="239" t="str">
        <f t="shared" si="87"/>
        <v/>
      </c>
      <c r="K391" s="238"/>
    </row>
    <row r="392" spans="1:11" x14ac:dyDescent="0.2">
      <c r="A392" s="81"/>
      <c r="B392" s="239">
        <f t="shared" si="83"/>
        <v>0</v>
      </c>
      <c r="C392" s="238"/>
      <c r="D392" s="239" t="str">
        <f t="shared" si="84"/>
        <v/>
      </c>
      <c r="E392" s="238"/>
      <c r="F392" s="239" t="str">
        <f t="shared" si="85"/>
        <v/>
      </c>
      <c r="G392" s="238"/>
      <c r="H392" s="239" t="str">
        <f t="shared" si="86"/>
        <v/>
      </c>
      <c r="I392" s="238"/>
      <c r="J392" s="239" t="str">
        <f t="shared" si="87"/>
        <v/>
      </c>
      <c r="K392" s="238"/>
    </row>
    <row r="393" spans="1:11" x14ac:dyDescent="0.2">
      <c r="A393" s="81"/>
      <c r="B393" s="239">
        <f t="shared" si="83"/>
        <v>0</v>
      </c>
      <c r="C393" s="238"/>
      <c r="D393" s="239" t="str">
        <f t="shared" si="84"/>
        <v/>
      </c>
      <c r="E393" s="238"/>
      <c r="F393" s="239" t="str">
        <f t="shared" si="85"/>
        <v/>
      </c>
      <c r="G393" s="238"/>
      <c r="H393" s="239" t="str">
        <f t="shared" si="86"/>
        <v/>
      </c>
      <c r="I393" s="238"/>
      <c r="J393" s="239" t="str">
        <f t="shared" si="87"/>
        <v/>
      </c>
      <c r="K393" s="238"/>
    </row>
    <row r="394" spans="1:11" x14ac:dyDescent="0.2">
      <c r="A394" s="81"/>
      <c r="B394" s="239">
        <f t="shared" si="83"/>
        <v>0</v>
      </c>
      <c r="C394" s="238"/>
      <c r="D394" s="239" t="str">
        <f t="shared" si="84"/>
        <v/>
      </c>
      <c r="E394" s="238"/>
      <c r="F394" s="239" t="str">
        <f t="shared" si="85"/>
        <v/>
      </c>
      <c r="G394" s="238"/>
      <c r="H394" s="239" t="str">
        <f t="shared" si="86"/>
        <v/>
      </c>
      <c r="I394" s="238"/>
      <c r="J394" s="239" t="str">
        <f t="shared" si="87"/>
        <v/>
      </c>
      <c r="K394" s="238"/>
    </row>
    <row r="395" spans="1:11" x14ac:dyDescent="0.2">
      <c r="A395" s="81"/>
      <c r="B395" s="239">
        <f t="shared" si="83"/>
        <v>0</v>
      </c>
      <c r="C395" s="238"/>
      <c r="D395" s="239" t="str">
        <f t="shared" si="84"/>
        <v/>
      </c>
      <c r="E395" s="238"/>
      <c r="F395" s="239" t="str">
        <f t="shared" si="85"/>
        <v/>
      </c>
      <c r="G395" s="238"/>
      <c r="H395" s="239" t="str">
        <f t="shared" si="86"/>
        <v/>
      </c>
      <c r="I395" s="238"/>
      <c r="J395" s="239" t="str">
        <f t="shared" si="87"/>
        <v/>
      </c>
      <c r="K395" s="238"/>
    </row>
    <row r="396" spans="1:11" x14ac:dyDescent="0.2">
      <c r="A396" s="81"/>
      <c r="B396" s="239">
        <f t="shared" si="83"/>
        <v>0</v>
      </c>
      <c r="C396" s="238"/>
      <c r="D396" s="239" t="str">
        <f t="shared" si="84"/>
        <v/>
      </c>
      <c r="E396" s="238"/>
      <c r="F396" s="239" t="str">
        <f t="shared" si="85"/>
        <v/>
      </c>
      <c r="G396" s="238"/>
      <c r="H396" s="239" t="str">
        <f t="shared" si="86"/>
        <v/>
      </c>
      <c r="I396" s="238"/>
      <c r="J396" s="239" t="str">
        <f t="shared" si="87"/>
        <v/>
      </c>
      <c r="K396" s="238"/>
    </row>
    <row r="397" spans="1:11" x14ac:dyDescent="0.2">
      <c r="A397" s="81"/>
      <c r="B397" s="239">
        <f t="shared" si="83"/>
        <v>0</v>
      </c>
      <c r="C397" s="238"/>
      <c r="D397" s="239" t="str">
        <f t="shared" si="84"/>
        <v/>
      </c>
      <c r="E397" s="238"/>
      <c r="F397" s="239" t="str">
        <f t="shared" si="85"/>
        <v/>
      </c>
      <c r="G397" s="238"/>
      <c r="H397" s="239" t="str">
        <f t="shared" si="86"/>
        <v/>
      </c>
      <c r="I397" s="238"/>
      <c r="J397" s="239" t="str">
        <f t="shared" si="87"/>
        <v/>
      </c>
      <c r="K397" s="238"/>
    </row>
    <row r="398" spans="1:11" x14ac:dyDescent="0.2">
      <c r="A398" s="81"/>
      <c r="B398" s="239">
        <f t="shared" si="83"/>
        <v>0</v>
      </c>
      <c r="C398" s="238"/>
      <c r="D398" s="239" t="str">
        <f t="shared" si="84"/>
        <v/>
      </c>
      <c r="E398" s="238"/>
      <c r="F398" s="239" t="str">
        <f t="shared" si="85"/>
        <v/>
      </c>
      <c r="G398" s="238"/>
      <c r="H398" s="239" t="str">
        <f t="shared" si="86"/>
        <v/>
      </c>
      <c r="I398" s="238"/>
      <c r="J398" s="239" t="str">
        <f t="shared" si="87"/>
        <v/>
      </c>
      <c r="K398" s="238"/>
    </row>
    <row r="399" spans="1:11" x14ac:dyDescent="0.2">
      <c r="A399" s="81"/>
      <c r="B399" s="239">
        <f t="shared" si="83"/>
        <v>0</v>
      </c>
      <c r="C399" s="238"/>
      <c r="D399" s="239" t="str">
        <f t="shared" si="84"/>
        <v/>
      </c>
      <c r="E399" s="238"/>
      <c r="F399" s="239" t="str">
        <f t="shared" si="85"/>
        <v/>
      </c>
      <c r="G399" s="238"/>
      <c r="H399" s="239" t="str">
        <f t="shared" si="86"/>
        <v/>
      </c>
      <c r="I399" s="238"/>
      <c r="J399" s="239" t="str">
        <f t="shared" si="87"/>
        <v/>
      </c>
      <c r="K399" s="238"/>
    </row>
    <row r="400" spans="1:11" x14ac:dyDescent="0.2">
      <c r="A400" s="81"/>
      <c r="B400" s="239">
        <f t="shared" si="83"/>
        <v>0</v>
      </c>
      <c r="C400" s="238"/>
      <c r="D400" s="239" t="str">
        <f t="shared" si="84"/>
        <v/>
      </c>
      <c r="E400" s="238"/>
      <c r="F400" s="239" t="str">
        <f t="shared" si="85"/>
        <v/>
      </c>
      <c r="G400" s="238"/>
      <c r="H400" s="239" t="str">
        <f t="shared" si="86"/>
        <v/>
      </c>
      <c r="I400" s="238"/>
      <c r="J400" s="239" t="str">
        <f t="shared" si="87"/>
        <v/>
      </c>
      <c r="K400" s="238"/>
    </row>
    <row r="401" spans="1:11" x14ac:dyDescent="0.2">
      <c r="A401" s="81"/>
      <c r="B401" s="239">
        <f t="shared" si="83"/>
        <v>0</v>
      </c>
      <c r="C401" s="238"/>
      <c r="D401" s="239" t="str">
        <f t="shared" si="84"/>
        <v/>
      </c>
      <c r="E401" s="238"/>
      <c r="F401" s="239" t="str">
        <f t="shared" si="85"/>
        <v/>
      </c>
      <c r="G401" s="238"/>
      <c r="H401" s="239" t="str">
        <f t="shared" si="86"/>
        <v/>
      </c>
      <c r="I401" s="238"/>
      <c r="J401" s="239" t="str">
        <f t="shared" si="87"/>
        <v/>
      </c>
      <c r="K401" s="238"/>
    </row>
    <row r="402" spans="1:11" x14ac:dyDescent="0.2">
      <c r="A402" s="81"/>
      <c r="B402" s="239">
        <f t="shared" si="83"/>
        <v>0</v>
      </c>
      <c r="C402" s="238"/>
      <c r="D402" s="239" t="str">
        <f t="shared" si="84"/>
        <v/>
      </c>
      <c r="E402" s="238"/>
      <c r="F402" s="239" t="str">
        <f t="shared" si="85"/>
        <v/>
      </c>
      <c r="G402" s="238"/>
      <c r="H402" s="239" t="str">
        <f t="shared" si="86"/>
        <v/>
      </c>
      <c r="I402" s="238"/>
      <c r="J402" s="239" t="str">
        <f t="shared" si="87"/>
        <v/>
      </c>
      <c r="K402" s="238"/>
    </row>
    <row r="403" spans="1:11" x14ac:dyDescent="0.2">
      <c r="A403" s="81"/>
      <c r="B403" s="239">
        <f t="shared" si="83"/>
        <v>0</v>
      </c>
      <c r="C403" s="238"/>
      <c r="D403" s="239" t="str">
        <f t="shared" si="84"/>
        <v/>
      </c>
      <c r="E403" s="238"/>
      <c r="F403" s="239" t="str">
        <f t="shared" si="85"/>
        <v/>
      </c>
      <c r="G403" s="238"/>
      <c r="H403" s="239" t="str">
        <f t="shared" si="86"/>
        <v/>
      </c>
      <c r="I403" s="238"/>
      <c r="J403" s="239" t="str">
        <f t="shared" si="87"/>
        <v/>
      </c>
      <c r="K403" s="238"/>
    </row>
  </sheetData>
  <mergeCells count="678">
    <mergeCell ref="C16:G16"/>
    <mergeCell ref="B403:C403"/>
    <mergeCell ref="D403:E403"/>
    <mergeCell ref="F403:G403"/>
    <mergeCell ref="H403:I403"/>
    <mergeCell ref="J403:K403"/>
    <mergeCell ref="B401:C401"/>
    <mergeCell ref="D401:E401"/>
    <mergeCell ref="F401:G401"/>
    <mergeCell ref="H401:I401"/>
    <mergeCell ref="J401:K401"/>
    <mergeCell ref="B402:C402"/>
    <mergeCell ref="D402:E402"/>
    <mergeCell ref="F402:G402"/>
    <mergeCell ref="H402:I402"/>
    <mergeCell ref="J402:K402"/>
    <mergeCell ref="B399:C399"/>
    <mergeCell ref="D399:E399"/>
    <mergeCell ref="F399:G399"/>
    <mergeCell ref="H399:I399"/>
    <mergeCell ref="J399:K399"/>
    <mergeCell ref="B400:C400"/>
    <mergeCell ref="D400:E400"/>
    <mergeCell ref="F400:G400"/>
    <mergeCell ref="H400:I400"/>
    <mergeCell ref="J400:K400"/>
    <mergeCell ref="B397:C397"/>
    <mergeCell ref="D397:E397"/>
    <mergeCell ref="F397:G397"/>
    <mergeCell ref="H397:I397"/>
    <mergeCell ref="J397:K397"/>
    <mergeCell ref="B398:C398"/>
    <mergeCell ref="D398:E398"/>
    <mergeCell ref="F398:G398"/>
    <mergeCell ref="H398:I398"/>
    <mergeCell ref="J398:K398"/>
    <mergeCell ref="B395:C395"/>
    <mergeCell ref="D395:E395"/>
    <mergeCell ref="F395:G395"/>
    <mergeCell ref="H395:I395"/>
    <mergeCell ref="J395:K395"/>
    <mergeCell ref="B396:C396"/>
    <mergeCell ref="D396:E396"/>
    <mergeCell ref="F396:G396"/>
    <mergeCell ref="H396:I396"/>
    <mergeCell ref="J396:K396"/>
    <mergeCell ref="B393:C393"/>
    <mergeCell ref="D393:E393"/>
    <mergeCell ref="F393:G393"/>
    <mergeCell ref="H393:I393"/>
    <mergeCell ref="J393:K393"/>
    <mergeCell ref="B394:C394"/>
    <mergeCell ref="D394:E394"/>
    <mergeCell ref="F394:G394"/>
    <mergeCell ref="H394:I394"/>
    <mergeCell ref="J394:K394"/>
    <mergeCell ref="B391:C391"/>
    <mergeCell ref="D391:E391"/>
    <mergeCell ref="F391:G391"/>
    <mergeCell ref="H391:I391"/>
    <mergeCell ref="J391:K391"/>
    <mergeCell ref="B392:C392"/>
    <mergeCell ref="D392:E392"/>
    <mergeCell ref="F392:G392"/>
    <mergeCell ref="H392:I392"/>
    <mergeCell ref="J392:K392"/>
    <mergeCell ref="B389:C389"/>
    <mergeCell ref="D389:E389"/>
    <mergeCell ref="F389:G389"/>
    <mergeCell ref="H389:I389"/>
    <mergeCell ref="J389:K389"/>
    <mergeCell ref="B390:C390"/>
    <mergeCell ref="D390:E390"/>
    <mergeCell ref="F390:G390"/>
    <mergeCell ref="H390:I390"/>
    <mergeCell ref="J390:K390"/>
    <mergeCell ref="B387:C387"/>
    <mergeCell ref="D387:E387"/>
    <mergeCell ref="F387:G387"/>
    <mergeCell ref="H387:I387"/>
    <mergeCell ref="J387:K387"/>
    <mergeCell ref="B388:C388"/>
    <mergeCell ref="D388:E388"/>
    <mergeCell ref="F388:G388"/>
    <mergeCell ref="H388:I388"/>
    <mergeCell ref="J388:K388"/>
    <mergeCell ref="B385:C385"/>
    <mergeCell ref="D385:E385"/>
    <mergeCell ref="F385:G385"/>
    <mergeCell ref="H385:I385"/>
    <mergeCell ref="J385:K385"/>
    <mergeCell ref="B386:C386"/>
    <mergeCell ref="D386:E386"/>
    <mergeCell ref="F386:G386"/>
    <mergeCell ref="H386:I386"/>
    <mergeCell ref="J386:K386"/>
    <mergeCell ref="B383:C383"/>
    <mergeCell ref="D383:E383"/>
    <mergeCell ref="F383:G383"/>
    <mergeCell ref="H383:I383"/>
    <mergeCell ref="J383:K383"/>
    <mergeCell ref="B384:C384"/>
    <mergeCell ref="D384:E384"/>
    <mergeCell ref="F384:G384"/>
    <mergeCell ref="H384:I384"/>
    <mergeCell ref="J384:K384"/>
    <mergeCell ref="B381:C381"/>
    <mergeCell ref="D381:E381"/>
    <mergeCell ref="F381:G381"/>
    <mergeCell ref="H381:I381"/>
    <mergeCell ref="J381:K381"/>
    <mergeCell ref="B382:C382"/>
    <mergeCell ref="D382:E382"/>
    <mergeCell ref="F382:G382"/>
    <mergeCell ref="H382:I382"/>
    <mergeCell ref="J382:K382"/>
    <mergeCell ref="B379:C379"/>
    <mergeCell ref="D379:E379"/>
    <mergeCell ref="F379:G379"/>
    <mergeCell ref="H379:I379"/>
    <mergeCell ref="J379:K379"/>
    <mergeCell ref="B380:C380"/>
    <mergeCell ref="D380:E380"/>
    <mergeCell ref="F380:G380"/>
    <mergeCell ref="H380:I380"/>
    <mergeCell ref="J380:K380"/>
    <mergeCell ref="B376:C376"/>
    <mergeCell ref="D376:E376"/>
    <mergeCell ref="F376:G376"/>
    <mergeCell ref="H376:I376"/>
    <mergeCell ref="J376:K376"/>
    <mergeCell ref="B377:C377"/>
    <mergeCell ref="D377:E377"/>
    <mergeCell ref="F377:G377"/>
    <mergeCell ref="H377:I377"/>
    <mergeCell ref="J377:K377"/>
    <mergeCell ref="B374:C374"/>
    <mergeCell ref="D374:E374"/>
    <mergeCell ref="F374:G374"/>
    <mergeCell ref="H374:I374"/>
    <mergeCell ref="J374:K374"/>
    <mergeCell ref="B375:C375"/>
    <mergeCell ref="D375:E375"/>
    <mergeCell ref="F375:G375"/>
    <mergeCell ref="H375:I375"/>
    <mergeCell ref="J375:K375"/>
    <mergeCell ref="B372:C372"/>
    <mergeCell ref="D372:E372"/>
    <mergeCell ref="F372:G372"/>
    <mergeCell ref="H372:I372"/>
    <mergeCell ref="J372:K372"/>
    <mergeCell ref="B373:C373"/>
    <mergeCell ref="D373:E373"/>
    <mergeCell ref="F373:G373"/>
    <mergeCell ref="H373:I373"/>
    <mergeCell ref="J373:K373"/>
    <mergeCell ref="B370:C370"/>
    <mergeCell ref="D370:E370"/>
    <mergeCell ref="F370:G370"/>
    <mergeCell ref="H370:I370"/>
    <mergeCell ref="J370:K370"/>
    <mergeCell ref="B371:C371"/>
    <mergeCell ref="D371:E371"/>
    <mergeCell ref="F371:G371"/>
    <mergeCell ref="H371:I371"/>
    <mergeCell ref="J371:K371"/>
    <mergeCell ref="B368:C368"/>
    <mergeCell ref="D368:E368"/>
    <mergeCell ref="F368:G368"/>
    <mergeCell ref="H368:I368"/>
    <mergeCell ref="J368:K368"/>
    <mergeCell ref="B369:C369"/>
    <mergeCell ref="D369:E369"/>
    <mergeCell ref="F369:G369"/>
    <mergeCell ref="H369:I369"/>
    <mergeCell ref="J369:K369"/>
    <mergeCell ref="B366:C366"/>
    <mergeCell ref="D366:E366"/>
    <mergeCell ref="F366:G366"/>
    <mergeCell ref="H366:I366"/>
    <mergeCell ref="J366:K366"/>
    <mergeCell ref="B367:C367"/>
    <mergeCell ref="D367:E367"/>
    <mergeCell ref="F367:G367"/>
    <mergeCell ref="H367:I367"/>
    <mergeCell ref="J367:K367"/>
    <mergeCell ref="B364:C364"/>
    <mergeCell ref="D364:E364"/>
    <mergeCell ref="F364:G364"/>
    <mergeCell ref="H364:I364"/>
    <mergeCell ref="J364:K364"/>
    <mergeCell ref="B365:C365"/>
    <mergeCell ref="D365:E365"/>
    <mergeCell ref="F365:G365"/>
    <mergeCell ref="H365:I365"/>
    <mergeCell ref="J365:K365"/>
    <mergeCell ref="B362:C362"/>
    <mergeCell ref="D362:E362"/>
    <mergeCell ref="F362:G362"/>
    <mergeCell ref="H362:I362"/>
    <mergeCell ref="J362:K362"/>
    <mergeCell ref="B363:C363"/>
    <mergeCell ref="D363:E363"/>
    <mergeCell ref="F363:G363"/>
    <mergeCell ref="H363:I363"/>
    <mergeCell ref="J363:K363"/>
    <mergeCell ref="B360:C360"/>
    <mergeCell ref="D360:E360"/>
    <mergeCell ref="F360:G360"/>
    <mergeCell ref="H360:I360"/>
    <mergeCell ref="J360:K360"/>
    <mergeCell ref="B361:C361"/>
    <mergeCell ref="D361:E361"/>
    <mergeCell ref="F361:G361"/>
    <mergeCell ref="H361:I361"/>
    <mergeCell ref="J361:K361"/>
    <mergeCell ref="B358:C358"/>
    <mergeCell ref="D358:E358"/>
    <mergeCell ref="F358:G358"/>
    <mergeCell ref="H358:I358"/>
    <mergeCell ref="J358:K358"/>
    <mergeCell ref="B359:C359"/>
    <mergeCell ref="D359:E359"/>
    <mergeCell ref="F359:G359"/>
    <mergeCell ref="H359:I359"/>
    <mergeCell ref="J359:K359"/>
    <mergeCell ref="B356:C356"/>
    <mergeCell ref="D356:E356"/>
    <mergeCell ref="F356:G356"/>
    <mergeCell ref="H356:I356"/>
    <mergeCell ref="J356:K356"/>
    <mergeCell ref="B357:C357"/>
    <mergeCell ref="D357:E357"/>
    <mergeCell ref="F357:G357"/>
    <mergeCell ref="H357:I357"/>
    <mergeCell ref="J357:K357"/>
    <mergeCell ref="B354:C354"/>
    <mergeCell ref="D354:E354"/>
    <mergeCell ref="F354:G354"/>
    <mergeCell ref="H354:I354"/>
    <mergeCell ref="J354:K354"/>
    <mergeCell ref="B355:C355"/>
    <mergeCell ref="D355:E355"/>
    <mergeCell ref="F355:G355"/>
    <mergeCell ref="H355:I355"/>
    <mergeCell ref="J355:K355"/>
    <mergeCell ref="B351:C351"/>
    <mergeCell ref="D351:E351"/>
    <mergeCell ref="F351:G351"/>
    <mergeCell ref="H351:I351"/>
    <mergeCell ref="J351:K351"/>
    <mergeCell ref="B353:C353"/>
    <mergeCell ref="D353:E353"/>
    <mergeCell ref="F353:G353"/>
    <mergeCell ref="H353:I353"/>
    <mergeCell ref="J353:K353"/>
    <mergeCell ref="B349:C349"/>
    <mergeCell ref="D349:E349"/>
    <mergeCell ref="F349:G349"/>
    <mergeCell ref="H349:I349"/>
    <mergeCell ref="J349:K349"/>
    <mergeCell ref="B350:C350"/>
    <mergeCell ref="D350:E350"/>
    <mergeCell ref="F350:G350"/>
    <mergeCell ref="H350:I350"/>
    <mergeCell ref="J350:K350"/>
    <mergeCell ref="B347:C347"/>
    <mergeCell ref="D347:E347"/>
    <mergeCell ref="F347:G347"/>
    <mergeCell ref="H347:I347"/>
    <mergeCell ref="J347:K347"/>
    <mergeCell ref="B348:C348"/>
    <mergeCell ref="D348:E348"/>
    <mergeCell ref="F348:G348"/>
    <mergeCell ref="H348:I348"/>
    <mergeCell ref="J348:K348"/>
    <mergeCell ref="B345:C345"/>
    <mergeCell ref="D345:E345"/>
    <mergeCell ref="F345:G345"/>
    <mergeCell ref="H345:I345"/>
    <mergeCell ref="J345:K345"/>
    <mergeCell ref="B346:C346"/>
    <mergeCell ref="D346:E346"/>
    <mergeCell ref="F346:G346"/>
    <mergeCell ref="H346:I346"/>
    <mergeCell ref="J346:K346"/>
    <mergeCell ref="B343:C343"/>
    <mergeCell ref="D343:E343"/>
    <mergeCell ref="F343:G343"/>
    <mergeCell ref="H343:I343"/>
    <mergeCell ref="J343:K343"/>
    <mergeCell ref="B344:C344"/>
    <mergeCell ref="D344:E344"/>
    <mergeCell ref="F344:G344"/>
    <mergeCell ref="H344:I344"/>
    <mergeCell ref="J344:K344"/>
    <mergeCell ref="B341:C341"/>
    <mergeCell ref="D341:E341"/>
    <mergeCell ref="F341:G341"/>
    <mergeCell ref="H341:I341"/>
    <mergeCell ref="J341:K341"/>
    <mergeCell ref="B342:C342"/>
    <mergeCell ref="D342:E342"/>
    <mergeCell ref="F342:G342"/>
    <mergeCell ref="H342:I342"/>
    <mergeCell ref="J342:K342"/>
    <mergeCell ref="B339:C339"/>
    <mergeCell ref="D339:E339"/>
    <mergeCell ref="F339:G339"/>
    <mergeCell ref="H339:I339"/>
    <mergeCell ref="J339:K339"/>
    <mergeCell ref="B340:C340"/>
    <mergeCell ref="D340:E340"/>
    <mergeCell ref="F340:G340"/>
    <mergeCell ref="H340:I340"/>
    <mergeCell ref="J340:K340"/>
    <mergeCell ref="B337:C337"/>
    <mergeCell ref="D337:E337"/>
    <mergeCell ref="F337:G337"/>
    <mergeCell ref="H337:I337"/>
    <mergeCell ref="J337:K337"/>
    <mergeCell ref="B338:C338"/>
    <mergeCell ref="D338:E338"/>
    <mergeCell ref="F338:G338"/>
    <mergeCell ref="H338:I338"/>
    <mergeCell ref="J338:K338"/>
    <mergeCell ref="B335:C335"/>
    <mergeCell ref="D335:E335"/>
    <mergeCell ref="F335:G335"/>
    <mergeCell ref="H335:I335"/>
    <mergeCell ref="J335:K335"/>
    <mergeCell ref="B336:C336"/>
    <mergeCell ref="D336:E336"/>
    <mergeCell ref="F336:G336"/>
    <mergeCell ref="H336:I336"/>
    <mergeCell ref="J336:K336"/>
    <mergeCell ref="B333:C333"/>
    <mergeCell ref="D333:E333"/>
    <mergeCell ref="F333:G333"/>
    <mergeCell ref="H333:I333"/>
    <mergeCell ref="J333:K333"/>
    <mergeCell ref="B334:C334"/>
    <mergeCell ref="D334:E334"/>
    <mergeCell ref="F334:G334"/>
    <mergeCell ref="H334:I334"/>
    <mergeCell ref="J334:K334"/>
    <mergeCell ref="B331:C331"/>
    <mergeCell ref="D331:E331"/>
    <mergeCell ref="F331:G331"/>
    <mergeCell ref="H331:I331"/>
    <mergeCell ref="J331:K331"/>
    <mergeCell ref="B332:C332"/>
    <mergeCell ref="D332:E332"/>
    <mergeCell ref="F332:G332"/>
    <mergeCell ref="H332:I332"/>
    <mergeCell ref="J332:K332"/>
    <mergeCell ref="B329:C329"/>
    <mergeCell ref="D329:E329"/>
    <mergeCell ref="F329:G329"/>
    <mergeCell ref="H329:I329"/>
    <mergeCell ref="J329:K329"/>
    <mergeCell ref="B330:C330"/>
    <mergeCell ref="D330:E330"/>
    <mergeCell ref="F330:G330"/>
    <mergeCell ref="H330:I330"/>
    <mergeCell ref="J330:K330"/>
    <mergeCell ref="B327:C327"/>
    <mergeCell ref="D327:E327"/>
    <mergeCell ref="F327:G327"/>
    <mergeCell ref="H327:I327"/>
    <mergeCell ref="J327:K327"/>
    <mergeCell ref="B328:C328"/>
    <mergeCell ref="D328:E328"/>
    <mergeCell ref="F328:G328"/>
    <mergeCell ref="H328:I328"/>
    <mergeCell ref="J328:K328"/>
    <mergeCell ref="B322:C322"/>
    <mergeCell ref="D322:E322"/>
    <mergeCell ref="F322:G322"/>
    <mergeCell ref="H322:I322"/>
    <mergeCell ref="J322:K322"/>
    <mergeCell ref="B321:C321"/>
    <mergeCell ref="D321:E321"/>
    <mergeCell ref="F321:G321"/>
    <mergeCell ref="H321:I321"/>
    <mergeCell ref="J321:K321"/>
    <mergeCell ref="B324:C324"/>
    <mergeCell ref="D324:E324"/>
    <mergeCell ref="F324:G324"/>
    <mergeCell ref="H324:I324"/>
    <mergeCell ref="J324:K324"/>
    <mergeCell ref="B323:C323"/>
    <mergeCell ref="D323:E323"/>
    <mergeCell ref="F323:G323"/>
    <mergeCell ref="H323:I323"/>
    <mergeCell ref="J323:K323"/>
    <mergeCell ref="F320:G320"/>
    <mergeCell ref="H320:I320"/>
    <mergeCell ref="J320:K320"/>
    <mergeCell ref="B319:C319"/>
    <mergeCell ref="D319:E319"/>
    <mergeCell ref="F319:G319"/>
    <mergeCell ref="H319:I319"/>
    <mergeCell ref="J319:K319"/>
    <mergeCell ref="B318:C318"/>
    <mergeCell ref="D318:E318"/>
    <mergeCell ref="F318:G318"/>
    <mergeCell ref="H318:I318"/>
    <mergeCell ref="J318:K318"/>
    <mergeCell ref="B320:C320"/>
    <mergeCell ref="D320:E320"/>
    <mergeCell ref="B317:C317"/>
    <mergeCell ref="D317:E317"/>
    <mergeCell ref="F317:G317"/>
    <mergeCell ref="H317:I317"/>
    <mergeCell ref="J317:K317"/>
    <mergeCell ref="B316:C316"/>
    <mergeCell ref="D316:E316"/>
    <mergeCell ref="F316:G316"/>
    <mergeCell ref="H316:I316"/>
    <mergeCell ref="J316:K316"/>
    <mergeCell ref="B315:C315"/>
    <mergeCell ref="D315:E315"/>
    <mergeCell ref="F315:G315"/>
    <mergeCell ref="H315:I315"/>
    <mergeCell ref="J315:K315"/>
    <mergeCell ref="B314:C314"/>
    <mergeCell ref="D314:E314"/>
    <mergeCell ref="F314:G314"/>
    <mergeCell ref="H314:I314"/>
    <mergeCell ref="J314:K314"/>
    <mergeCell ref="B313:C313"/>
    <mergeCell ref="D313:E313"/>
    <mergeCell ref="F313:G313"/>
    <mergeCell ref="H313:I313"/>
    <mergeCell ref="J313:K313"/>
    <mergeCell ref="H300:I300"/>
    <mergeCell ref="J300:K300"/>
    <mergeCell ref="B301:C301"/>
    <mergeCell ref="D301:E301"/>
    <mergeCell ref="F301:G301"/>
    <mergeCell ref="H301:I301"/>
    <mergeCell ref="J301:K301"/>
    <mergeCell ref="B312:C312"/>
    <mergeCell ref="D312:E312"/>
    <mergeCell ref="F312:G312"/>
    <mergeCell ref="H312:I312"/>
    <mergeCell ref="J312:K312"/>
    <mergeCell ref="B311:C311"/>
    <mergeCell ref="D311:E311"/>
    <mergeCell ref="F311:G311"/>
    <mergeCell ref="H311:I311"/>
    <mergeCell ref="J311:K311"/>
    <mergeCell ref="J309:K309"/>
    <mergeCell ref="J310:K310"/>
    <mergeCell ref="F309:G309"/>
    <mergeCell ref="H309:I309"/>
    <mergeCell ref="F310:G310"/>
    <mergeCell ref="H310:I310"/>
    <mergeCell ref="B309:C309"/>
    <mergeCell ref="D309:E309"/>
    <mergeCell ref="B310:C310"/>
    <mergeCell ref="D310:E310"/>
    <mergeCell ref="J307:K307"/>
    <mergeCell ref="J308:K308"/>
    <mergeCell ref="F307:G307"/>
    <mergeCell ref="H307:I307"/>
    <mergeCell ref="F308:G308"/>
    <mergeCell ref="H308:I308"/>
    <mergeCell ref="B307:C307"/>
    <mergeCell ref="D307:E307"/>
    <mergeCell ref="B308:C308"/>
    <mergeCell ref="D308:E308"/>
    <mergeCell ref="J305:K305"/>
    <mergeCell ref="J306:K306"/>
    <mergeCell ref="F305:G305"/>
    <mergeCell ref="H305:I305"/>
    <mergeCell ref="F306:G306"/>
    <mergeCell ref="H306:I306"/>
    <mergeCell ref="B305:C305"/>
    <mergeCell ref="D305:E305"/>
    <mergeCell ref="B306:C306"/>
    <mergeCell ref="D306:E306"/>
    <mergeCell ref="J303:K303"/>
    <mergeCell ref="J304:K304"/>
    <mergeCell ref="F303:G303"/>
    <mergeCell ref="H303:I303"/>
    <mergeCell ref="F304:G304"/>
    <mergeCell ref="H304:I304"/>
    <mergeCell ref="B303:C303"/>
    <mergeCell ref="D303:E303"/>
    <mergeCell ref="B304:C304"/>
    <mergeCell ref="D304:E304"/>
    <mergeCell ref="J302:K302"/>
    <mergeCell ref="F302:G302"/>
    <mergeCell ref="H302:I302"/>
    <mergeCell ref="B302:C302"/>
    <mergeCell ref="D302:E302"/>
    <mergeCell ref="J295:K295"/>
    <mergeCell ref="J296:K296"/>
    <mergeCell ref="J297:K297"/>
    <mergeCell ref="J298:K298"/>
    <mergeCell ref="H295:I295"/>
    <mergeCell ref="H296:I296"/>
    <mergeCell ref="H297:I297"/>
    <mergeCell ref="H298:I298"/>
    <mergeCell ref="F295:G295"/>
    <mergeCell ref="F296:G296"/>
    <mergeCell ref="F297:G297"/>
    <mergeCell ref="F298:G298"/>
    <mergeCell ref="D298:E298"/>
    <mergeCell ref="B295:C295"/>
    <mergeCell ref="B296:C296"/>
    <mergeCell ref="B297:C297"/>
    <mergeCell ref="B298:C298"/>
    <mergeCell ref="B300:C300"/>
    <mergeCell ref="F300:G300"/>
    <mergeCell ref="J290:K290"/>
    <mergeCell ref="J291:K291"/>
    <mergeCell ref="J292:K292"/>
    <mergeCell ref="J293:K293"/>
    <mergeCell ref="J294:K294"/>
    <mergeCell ref="J285:K285"/>
    <mergeCell ref="J286:K286"/>
    <mergeCell ref="J287:K287"/>
    <mergeCell ref="J288:K288"/>
    <mergeCell ref="J289:K289"/>
    <mergeCell ref="J280:K280"/>
    <mergeCell ref="J281:K281"/>
    <mergeCell ref="J282:K282"/>
    <mergeCell ref="J283:K283"/>
    <mergeCell ref="J284:K284"/>
    <mergeCell ref="J275:K275"/>
    <mergeCell ref="J276:K276"/>
    <mergeCell ref="J277:K277"/>
    <mergeCell ref="J278:K278"/>
    <mergeCell ref="J279:K279"/>
    <mergeCell ref="H290:I290"/>
    <mergeCell ref="H291:I291"/>
    <mergeCell ref="H292:I292"/>
    <mergeCell ref="H293:I293"/>
    <mergeCell ref="H294:I294"/>
    <mergeCell ref="H285:I285"/>
    <mergeCell ref="H286:I286"/>
    <mergeCell ref="H287:I287"/>
    <mergeCell ref="H288:I288"/>
    <mergeCell ref="H289:I289"/>
    <mergeCell ref="H280:I280"/>
    <mergeCell ref="H281:I281"/>
    <mergeCell ref="H282:I282"/>
    <mergeCell ref="H283:I283"/>
    <mergeCell ref="H284:I284"/>
    <mergeCell ref="H275:I275"/>
    <mergeCell ref="H276:I276"/>
    <mergeCell ref="H277:I277"/>
    <mergeCell ref="H278:I278"/>
    <mergeCell ref="H279:I279"/>
    <mergeCell ref="F290:G290"/>
    <mergeCell ref="F291:G291"/>
    <mergeCell ref="F292:G292"/>
    <mergeCell ref="F293:G293"/>
    <mergeCell ref="F294:G294"/>
    <mergeCell ref="D300:E300"/>
    <mergeCell ref="F275:G275"/>
    <mergeCell ref="F276:G276"/>
    <mergeCell ref="F277:G277"/>
    <mergeCell ref="F278:G278"/>
    <mergeCell ref="F279:G279"/>
    <mergeCell ref="F280:G280"/>
    <mergeCell ref="F281:G281"/>
    <mergeCell ref="F282:G282"/>
    <mergeCell ref="F283:G283"/>
    <mergeCell ref="F284:G284"/>
    <mergeCell ref="F285:G285"/>
    <mergeCell ref="F286:G286"/>
    <mergeCell ref="F287:G287"/>
    <mergeCell ref="F288:G288"/>
    <mergeCell ref="F289:G289"/>
    <mergeCell ref="D295:E295"/>
    <mergeCell ref="D296:E296"/>
    <mergeCell ref="D297:E297"/>
    <mergeCell ref="D290:E290"/>
    <mergeCell ref="D291:E291"/>
    <mergeCell ref="D292:E292"/>
    <mergeCell ref="D293:E293"/>
    <mergeCell ref="D294:E294"/>
    <mergeCell ref="D285:E285"/>
    <mergeCell ref="D286:E286"/>
    <mergeCell ref="D287:E287"/>
    <mergeCell ref="D288:E288"/>
    <mergeCell ref="D289:E289"/>
    <mergeCell ref="D280:E280"/>
    <mergeCell ref="D281:E281"/>
    <mergeCell ref="D282:E282"/>
    <mergeCell ref="D283:E283"/>
    <mergeCell ref="D284:E284"/>
    <mergeCell ref="D275:E275"/>
    <mergeCell ref="D276:E276"/>
    <mergeCell ref="D277:E277"/>
    <mergeCell ref="D278:E278"/>
    <mergeCell ref="D279:E279"/>
    <mergeCell ref="B290:C290"/>
    <mergeCell ref="B291:C291"/>
    <mergeCell ref="B292:C292"/>
    <mergeCell ref="B293:C293"/>
    <mergeCell ref="B294:C294"/>
    <mergeCell ref="B285:C285"/>
    <mergeCell ref="B286:C286"/>
    <mergeCell ref="B287:C287"/>
    <mergeCell ref="B288:C288"/>
    <mergeCell ref="B289:C289"/>
    <mergeCell ref="B280:C280"/>
    <mergeCell ref="B281:C281"/>
    <mergeCell ref="B282:C282"/>
    <mergeCell ref="B283:C283"/>
    <mergeCell ref="B284:C284"/>
    <mergeCell ref="B275:C275"/>
    <mergeCell ref="B276:C276"/>
    <mergeCell ref="B277:C277"/>
    <mergeCell ref="B278:C278"/>
    <mergeCell ref="B279:C279"/>
    <mergeCell ref="B274:C274"/>
    <mergeCell ref="D274:E274"/>
    <mergeCell ref="F274:G274"/>
    <mergeCell ref="H274:I274"/>
    <mergeCell ref="J274:K274"/>
    <mergeCell ref="B246:C246"/>
    <mergeCell ref="D246:E246"/>
    <mergeCell ref="F246:G246"/>
    <mergeCell ref="H246:I246"/>
    <mergeCell ref="J246:K246"/>
    <mergeCell ref="H99:I99"/>
    <mergeCell ref="J99:K99"/>
    <mergeCell ref="B98:C98"/>
    <mergeCell ref="D98:E98"/>
    <mergeCell ref="F98:G98"/>
    <mergeCell ref="H98:I98"/>
    <mergeCell ref="J98:K98"/>
    <mergeCell ref="D217:E217"/>
    <mergeCell ref="F217:G217"/>
    <mergeCell ref="H217:I217"/>
    <mergeCell ref="J217:K217"/>
    <mergeCell ref="B217:C217"/>
    <mergeCell ref="A136:B136"/>
    <mergeCell ref="A154:B154"/>
    <mergeCell ref="B99:C99"/>
    <mergeCell ref="D99:E99"/>
    <mergeCell ref="F99:G99"/>
    <mergeCell ref="B204:D204"/>
    <mergeCell ref="B205:D205"/>
    <mergeCell ref="B206:D206"/>
    <mergeCell ref="B207:D207"/>
    <mergeCell ref="B208:D208"/>
    <mergeCell ref="B209:D209"/>
    <mergeCell ref="A204:A205"/>
    <mergeCell ref="J95:K95"/>
    <mergeCell ref="H95:I95"/>
    <mergeCell ref="J84:K84"/>
    <mergeCell ref="H84:I84"/>
    <mergeCell ref="J45:K45"/>
    <mergeCell ref="H45:I45"/>
    <mergeCell ref="B95:C95"/>
    <mergeCell ref="D95:E95"/>
    <mergeCell ref="F95:G95"/>
    <mergeCell ref="A210:A211"/>
    <mergeCell ref="B210:D210"/>
    <mergeCell ref="B211:D211"/>
    <mergeCell ref="A212:A213"/>
    <mergeCell ref="B212:D212"/>
    <mergeCell ref="B213:D213"/>
    <mergeCell ref="B45:C45"/>
    <mergeCell ref="D45:E45"/>
    <mergeCell ref="F45:G45"/>
    <mergeCell ref="B84:C84"/>
    <mergeCell ref="D84:E84"/>
    <mergeCell ref="F84:G84"/>
    <mergeCell ref="A206:A207"/>
    <mergeCell ref="A208:A209"/>
  </mergeCells>
  <conditionalFormatting sqref="L35:M58">
    <cfRule type="expression" dxfId="15" priority="1">
      <formula>$G$5=0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851C26ED-17CC-478C-BABE-2CE8C2F925BA}">
            <xm:f>Request!$F$197&lt;&gt;$A$91</xm:f>
            <x14:dxf/>
          </x14:cfRule>
          <xm:sqref>M181:O181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379"/>
  <sheetViews>
    <sheetView tabSelected="1" zoomScale="110" zoomScaleNormal="110" workbookViewId="0">
      <selection activeCell="E34" sqref="E34"/>
    </sheetView>
  </sheetViews>
  <sheetFormatPr defaultColWidth="8.85546875" defaultRowHeight="12" x14ac:dyDescent="0.2"/>
  <cols>
    <col min="1" max="1" width="3" style="39" customWidth="1"/>
    <col min="2" max="2" width="9.7109375" style="39" customWidth="1"/>
    <col min="3" max="3" width="11.140625" style="39" customWidth="1"/>
    <col min="4" max="4" width="7.28515625" style="39" customWidth="1"/>
    <col min="5" max="5" width="8.7109375" style="39" customWidth="1"/>
    <col min="6" max="6" width="11.7109375" style="39" customWidth="1"/>
    <col min="7" max="7" width="0.42578125" style="39" customWidth="1"/>
    <col min="8" max="8" width="5.42578125" style="39" hidden="1" customWidth="1"/>
    <col min="9" max="9" width="4.7109375" style="39" hidden="1" customWidth="1"/>
    <col min="10" max="10" width="5.140625" style="39" hidden="1" customWidth="1"/>
    <col min="11" max="11" width="4.85546875" style="39" bestFit="1" customWidth="1"/>
    <col min="12" max="12" width="10" style="39" customWidth="1"/>
    <col min="13" max="13" width="4.7109375" style="39" hidden="1" customWidth="1"/>
    <col min="14" max="14" width="18" style="39" customWidth="1"/>
    <col min="15" max="15" width="9.28515625" style="39" hidden="1" customWidth="1"/>
    <col min="16" max="17" width="10" style="39" hidden="1" customWidth="1"/>
    <col min="18" max="18" width="9.7109375" style="39" hidden="1" customWidth="1"/>
    <col min="19" max="19" width="10.42578125" style="39" hidden="1" customWidth="1"/>
    <col min="20" max="20" width="2.28515625" style="39" customWidth="1"/>
    <col min="21" max="21" width="14.28515625" style="39" customWidth="1"/>
    <col min="22" max="16384" width="8.85546875" style="39"/>
  </cols>
  <sheetData>
    <row r="1" spans="1:41" ht="13.15" customHeight="1" thickTop="1" thickBot="1" x14ac:dyDescent="0.25">
      <c r="A1" s="105"/>
      <c r="B1" s="103" t="s">
        <v>1</v>
      </c>
      <c r="C1" s="153">
        <v>43282</v>
      </c>
      <c r="D1" s="290" t="s">
        <v>187</v>
      </c>
      <c r="E1" s="176" t="s">
        <v>172</v>
      </c>
      <c r="F1" s="287"/>
      <c r="G1" s="288"/>
      <c r="H1" s="288"/>
      <c r="I1" s="288"/>
      <c r="J1" s="288"/>
      <c r="K1" s="288"/>
      <c r="L1" s="288"/>
      <c r="M1" s="288"/>
      <c r="N1" s="289"/>
      <c r="O1" s="342"/>
      <c r="P1" s="343"/>
      <c r="Q1" s="343"/>
      <c r="R1" s="276"/>
      <c r="S1" s="277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</row>
    <row r="2" spans="1:41" ht="13.15" customHeight="1" thickTop="1" x14ac:dyDescent="0.2">
      <c r="A2" s="60"/>
      <c r="B2" s="104" t="s">
        <v>2</v>
      </c>
      <c r="C2" s="153">
        <v>43646</v>
      </c>
      <c r="D2" s="291"/>
      <c r="E2" s="177" t="s">
        <v>7</v>
      </c>
      <c r="F2" s="278"/>
      <c r="G2" s="279"/>
      <c r="H2" s="279"/>
      <c r="I2" s="279"/>
      <c r="J2" s="279"/>
      <c r="K2" s="279"/>
      <c r="L2" s="279"/>
      <c r="M2" s="280"/>
      <c r="N2" s="154" t="s">
        <v>185</v>
      </c>
      <c r="O2" s="155" t="str">
        <f>IF(Worksheet!D5=1,Worksheet!D5&amp;" Month",Worksheet!D5&amp;" Months")</f>
        <v>0 Months</v>
      </c>
      <c r="P2" s="155" t="str">
        <f>IF(Worksheet!E5=1,Worksheet!E5&amp;" Month",Worksheet!E5&amp;" Months")</f>
        <v>0 Months</v>
      </c>
      <c r="Q2" s="155" t="str">
        <f>IF(Worksheet!F5=1,Worksheet!F5&amp;" Month",Worksheet!F5&amp;" Months")</f>
        <v>0 Months</v>
      </c>
      <c r="R2" s="155" t="str">
        <f>IF(Worksheet!G5=1,Worksheet!G5&amp;" Month",Worksheet!G5&amp;" Months")</f>
        <v>0 Months</v>
      </c>
      <c r="S2" s="155" t="str">
        <f>IF(Worksheet!B5=1,Worksheet!B5&amp;" Month",Worksheet!B5&amp;" Months")</f>
        <v>12 Months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</row>
    <row r="3" spans="1:41" ht="10.15" customHeight="1" thickBot="1" x14ac:dyDescent="0.25">
      <c r="C3" s="48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</row>
    <row r="4" spans="1:41" ht="14.45" customHeight="1" thickBot="1" x14ac:dyDescent="0.25">
      <c r="A4" s="281" t="s">
        <v>4</v>
      </c>
      <c r="B4" s="282"/>
      <c r="C4" s="282"/>
      <c r="D4" s="282"/>
      <c r="E4" s="282"/>
      <c r="F4" s="282"/>
      <c r="G4" s="282"/>
      <c r="H4" s="282"/>
      <c r="I4" s="282"/>
      <c r="J4" s="283"/>
      <c r="K4" s="292" t="s">
        <v>166</v>
      </c>
      <c r="L4" s="293"/>
      <c r="M4" s="296" t="s">
        <v>171</v>
      </c>
      <c r="N4" s="120" t="str">
        <f>IF(Worksheet!B5&gt;=Worksheet!C1,"",Worksheet!B5&amp; " Months")</f>
        <v/>
      </c>
      <c r="O4" s="49"/>
      <c r="P4" s="327" t="s">
        <v>56</v>
      </c>
      <c r="Q4" s="327"/>
      <c r="R4" s="143" t="s">
        <v>182</v>
      </c>
      <c r="S4" s="171" t="s">
        <v>184</v>
      </c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</row>
    <row r="5" spans="1:41" x14ac:dyDescent="0.2">
      <c r="A5" s="284"/>
      <c r="B5" s="285"/>
      <c r="C5" s="285"/>
      <c r="D5" s="285"/>
      <c r="E5" s="285"/>
      <c r="F5" s="285"/>
      <c r="G5" s="285"/>
      <c r="H5" s="285"/>
      <c r="I5" s="285"/>
      <c r="J5" s="286"/>
      <c r="K5" s="294"/>
      <c r="L5" s="295"/>
      <c r="M5" s="297"/>
      <c r="N5" s="50" t="s">
        <v>129</v>
      </c>
      <c r="O5" s="50" t="s">
        <v>130</v>
      </c>
      <c r="P5" s="50" t="s">
        <v>131</v>
      </c>
      <c r="Q5" s="50" t="s">
        <v>134</v>
      </c>
      <c r="R5" s="50" t="s">
        <v>132</v>
      </c>
      <c r="S5" s="111" t="s">
        <v>12</v>
      </c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</row>
    <row r="6" spans="1:41" ht="25.15" customHeight="1" x14ac:dyDescent="0.2">
      <c r="A6" s="300"/>
      <c r="B6" s="298" t="s">
        <v>133</v>
      </c>
      <c r="C6" s="298"/>
      <c r="D6" s="298"/>
      <c r="E6" s="302" t="s">
        <v>180</v>
      </c>
      <c r="F6" s="333" t="s">
        <v>159</v>
      </c>
      <c r="G6" s="334"/>
      <c r="H6" s="334"/>
      <c r="I6" s="334"/>
      <c r="J6" s="335"/>
      <c r="K6" s="347" t="s">
        <v>13</v>
      </c>
      <c r="L6" s="348" t="s">
        <v>63</v>
      </c>
      <c r="M6" s="349" t="s">
        <v>128</v>
      </c>
      <c r="N6" s="304" t="s">
        <v>190</v>
      </c>
      <c r="O6" s="304" t="s">
        <v>191</v>
      </c>
      <c r="P6" s="304" t="s">
        <v>192</v>
      </c>
      <c r="Q6" s="304" t="str">
        <f>TEXT(Worksheet!F2,"m/d/yy")&amp;"-"&amp;TEXT(Worksheet!F3,"m/d/yy")</f>
        <v>-</v>
      </c>
      <c r="R6" s="304" t="str">
        <f>TEXT(Worksheet!G2,"m/d/yy")&amp;"-"&amp;TEXT(Worksheet!G3,"m/d/yy")</f>
        <v>-</v>
      </c>
      <c r="S6" s="304" t="str">
        <f>TEXT(Worksheet!B2,"m/d/yy")&amp;"-"&amp;TEXT(Worksheet!B3,"m/d/yy")</f>
        <v>7/1/18-6/30/19</v>
      </c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</row>
    <row r="7" spans="1:41" x14ac:dyDescent="0.2">
      <c r="A7" s="301"/>
      <c r="B7" s="299"/>
      <c r="C7" s="299"/>
      <c r="D7" s="299"/>
      <c r="E7" s="303"/>
      <c r="F7" s="117" t="s">
        <v>160</v>
      </c>
      <c r="G7" s="117" t="s">
        <v>161</v>
      </c>
      <c r="H7" s="117" t="s">
        <v>162</v>
      </c>
      <c r="I7" s="117" t="s">
        <v>163</v>
      </c>
      <c r="J7" s="117" t="s">
        <v>164</v>
      </c>
      <c r="K7" s="347"/>
      <c r="L7" s="348"/>
      <c r="M7" s="349"/>
      <c r="N7" s="305"/>
      <c r="O7" s="305"/>
      <c r="P7" s="305"/>
      <c r="Q7" s="305"/>
      <c r="R7" s="305"/>
      <c r="S7" s="305"/>
      <c r="T7" s="191"/>
      <c r="U7" s="214">
        <f>IF(E25&gt;15800,15800*12*F25,ROUND(F25*E25*12,0))</f>
        <v>0</v>
      </c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</row>
    <row r="8" spans="1:41" ht="12" customHeight="1" x14ac:dyDescent="0.2">
      <c r="A8" s="149">
        <v>1</v>
      </c>
      <c r="B8" s="150" t="s">
        <v>203</v>
      </c>
      <c r="C8" s="150"/>
      <c r="D8" s="151"/>
      <c r="E8" s="152">
        <v>190000</v>
      </c>
      <c r="F8" s="173">
        <v>0.05</v>
      </c>
      <c r="G8" s="173">
        <v>0</v>
      </c>
      <c r="H8" s="173">
        <v>0</v>
      </c>
      <c r="I8" s="173">
        <v>0</v>
      </c>
      <c r="J8" s="173">
        <v>0</v>
      </c>
      <c r="K8" s="147" t="s">
        <v>165</v>
      </c>
      <c r="L8" s="147">
        <v>12</v>
      </c>
      <c r="M8" s="148">
        <v>0.03</v>
      </c>
      <c r="N8" s="182">
        <f>IF(E8&gt;189600,189600*F8,ROUND(F8*E8,0))</f>
        <v>9480</v>
      </c>
      <c r="O8" s="182">
        <f>E8*G8*1.03</f>
        <v>0</v>
      </c>
      <c r="P8" s="182">
        <f>SUM(H8*E8*1.03^2)</f>
        <v>0</v>
      </c>
      <c r="Q8" s="182">
        <f>IF(Worksheet!$C$4=Worksheet!$D$4,(IF(AND($S$4="Multi",$R$4="FY"),ROUND(((1+$M8)^(Worksheet!$B$20+2)*Worksheet!$F$9+(1+$M8)^(Worksheet!$B$20+3)*Worksheet!$F$10)/12*Request!$E8*Request!$I8,0),(IF(AND($S$4="Multi",$R$4="PY"),ROUND($E8*$I8*((1+$M8)^3)/12*Worksheet!$F$5,0),(IF(AND($S$4&lt;&gt;"Multi",$R$4="FY"),ROUND(((1+$S$4)^(Worksheet!$B$20+2)*Worksheet!$F$9+(1+$S$4)^(Worksheet!$B$20+3)*Worksheet!$F$10)/12*Request!$E8*Request!$I8,0),ROUND($E8*$I8*((1+$S$4)^3)/12*Worksheet!$F$5,0))))))),(IF(AND($S$4="Multi",$R$4="FY"),ROUND(((1+$M8)^(Worksheet!$B$20+3)*Worksheet!$F$9+(1+$M8)^(Worksheet!$B$20+4)*Worksheet!$F$10)/12*Request!$E8*Request!$I8,0),(IF(AND($S$4="Multi",$R$4="PY"),ROUND($E8*$I8*((1+$M8)^3)/12*Worksheet!$F$5,0),(IF(AND($S$4&lt;&gt;"Multi",$R$4="FY"),ROUND(((1+$S$4)^(Worksheet!$B$20+3)*Worksheet!$F$9+(1+$S$4)^(Worksheet!$B$20+4)*Worksheet!$F$10)/12*Request!$E8*Request!$I8,0),ROUND($E8*$I8*((1+$S$4)^3)/12*Worksheet!$F$5,0))))))))</f>
        <v>0</v>
      </c>
      <c r="R8" s="182">
        <f>IF(Worksheet!$C$4=Worksheet!$D$4,(IF(AND($S$4="Multi",$R$4="FY"),ROUND(((1+$M8)^(Worksheet!$B$20+3)*Worksheet!$G$9+(1+$M8)^(Worksheet!$B$20+4)*Worksheet!$G$10)/12*Request!$E8*Request!$J8,0),(IF(AND($S$4="Multi",$R$4="PY"),ROUND($E8*$J8*((1+$M8)^4)/12*Worksheet!$G$5,0),(IF(AND($S$4&lt;&gt;"Multi",$R$4="FY"),ROUND(((1+$S$4)^(Worksheet!$B$20+3)*Worksheet!$G$9+(1+$S$4)^(Worksheet!$B$20+4)*Worksheet!$G$10)/12*Request!$E8*Request!$J8,0),ROUND($E8*$J8*((1+$S$4)^4)/12*Worksheet!$G$5,0))))))),(IF(AND($S$4="Multi",$R$4="FY"),ROUND(((1+$M8)^(Worksheet!$B$20+4)*Worksheet!$G$9+(1+$M8)^(Worksheet!$B$20+5)*Worksheet!$G$10)/12*Request!$E8*Request!$J8,0),(IF(AND($S$4="Multi",$R$4="PY"),ROUND($E8*$J8*((1+$M8)^4)/12*Worksheet!$G$5,0),(IF(AND($S$4&lt;&gt;"Multi",$R$4="FY"),ROUND(((1+$S$4)^(Worksheet!$B$20+4)*Worksheet!$G$9+(1+$S$4)^(Worksheet!$B$20+5)*Worksheet!$G$10)/12*Request!$E8*Request!$J8,0),ROUND($E8*$J8*((1+$S$4)^4)/12*Worksheet!$G$5,0))))))))</f>
        <v>0</v>
      </c>
      <c r="S8" s="145">
        <f>SUM(N8:R8)</f>
        <v>9480</v>
      </c>
      <c r="T8" s="191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</row>
    <row r="9" spans="1:41" ht="11.45" x14ac:dyDescent="0.2">
      <c r="A9" s="149">
        <v>2</v>
      </c>
      <c r="B9" s="150" t="s">
        <v>202</v>
      </c>
      <c r="C9" s="150"/>
      <c r="D9" s="175"/>
      <c r="E9" s="152">
        <v>75000</v>
      </c>
      <c r="F9" s="173">
        <v>0.05</v>
      </c>
      <c r="G9" s="173">
        <v>0</v>
      </c>
      <c r="H9" s="173">
        <v>0</v>
      </c>
      <c r="I9" s="173">
        <v>0</v>
      </c>
      <c r="J9" s="173">
        <v>0</v>
      </c>
      <c r="K9" s="147" t="s">
        <v>165</v>
      </c>
      <c r="L9" s="147">
        <v>12</v>
      </c>
      <c r="M9" s="148">
        <v>0.03</v>
      </c>
      <c r="N9" s="182">
        <f t="shared" ref="N9:N15" si="0">IF(E9&gt;189600,189600*F9,ROUND(F9*E9,0))</f>
        <v>3750</v>
      </c>
      <c r="O9" s="182">
        <f t="shared" ref="O9:O13" si="1">E9*G9*1.03</f>
        <v>0</v>
      </c>
      <c r="P9" s="182">
        <f t="shared" ref="P9:P13" si="2">SUM(H9*E9*1.03^2)</f>
        <v>0</v>
      </c>
      <c r="Q9" s="182">
        <f>IF(Worksheet!$C$4=Worksheet!$D$4,(IF(AND($S$4="Multi",$R$4="FY"),ROUND(((1+$M9)^(Worksheet!$B$20+2)*Worksheet!$F$9+(1+$M9)^(Worksheet!$B$20+3)*Worksheet!$F$10)/12*Request!$E9*Request!$I9,0),(IF(AND($S$4="Multi",$R$4="PY"),ROUND($E9*$I9*((1+$M9)^3)/12*Worksheet!$F$5,0),(IF(AND($S$4&lt;&gt;"Multi",$R$4="FY"),ROUND(((1+$S$4)^(Worksheet!$B$20+2)*Worksheet!$F$9+(1+$S$4)^(Worksheet!$B$20+3)*Worksheet!$F$10)/12*Request!$E9*Request!$I9,0),ROUND($E9*$I9*((1+$S$4)^3)/12*Worksheet!$F$5,0))))))),(IF(AND($S$4="Multi",$R$4="FY"),ROUND(((1+$M9)^(Worksheet!$B$20+3)*Worksheet!$F$9+(1+$M9)^(Worksheet!$B$20+4)*Worksheet!$F$10)/12*Request!$E9*Request!$I9,0),(IF(AND($S$4="Multi",$R$4="PY"),ROUND($E9*$I9*((1+$M9)^3)/12*Worksheet!$F$5,0),(IF(AND($S$4&lt;&gt;"Multi",$R$4="FY"),ROUND(((1+$S$4)^(Worksheet!$B$20+3)*Worksheet!$F$9+(1+$S$4)^(Worksheet!$B$20+4)*Worksheet!$F$10)/12*Request!$E9*Request!$I9,0),ROUND($E9*$I9*((1+$S$4)^3)/12*Worksheet!$F$5,0))))))))</f>
        <v>0</v>
      </c>
      <c r="R9" s="182">
        <f>IF(Worksheet!$C$4=Worksheet!$D$4,(IF(AND($S$4="Multi",$R$4="FY"),ROUND(((1+$M9)^(Worksheet!$B$20+3)*Worksheet!$G$9+(1+$M9)^(Worksheet!$B$20+4)*Worksheet!$G$10)/12*Request!$E9*Request!$J9,0),(IF(AND($S$4="Multi",$R$4="PY"),ROUND($E9*$J9*((1+$M9)^4)/12*Worksheet!$G$5,0),(IF(AND($S$4&lt;&gt;"Multi",$R$4="FY"),ROUND(((1+$S$4)^(Worksheet!$B$20+3)*Worksheet!$G$9+(1+$S$4)^(Worksheet!$B$20+4)*Worksheet!$G$10)/12*Request!$E9*Request!$J9,0),ROUND($E9*$J9*((1+$S$4)^4)/12*Worksheet!$G$5,0))))))),(IF(AND($S$4="Multi",$R$4="FY"),ROUND(((1+$M9)^(Worksheet!$B$20+4)*Worksheet!$G$9+(1+$M9)^(Worksheet!$B$20+5)*Worksheet!$G$10)/12*Request!$E9*Request!$J9,0),(IF(AND($S$4="Multi",$R$4="PY"),ROUND($E9*$J9*((1+$M9)^4)/12*Worksheet!$G$5,0),(IF(AND($S$4&lt;&gt;"Multi",$R$4="FY"),ROUND(((1+$S$4)^(Worksheet!$B$20+4)*Worksheet!$G$9+(1+$S$4)^(Worksheet!$B$20+5)*Worksheet!$G$10)/12*Request!$E9*Request!$J9,0),ROUND($E9*$J9*((1+$S$4)^4)/12*Worksheet!$G$5,0))))))))</f>
        <v>0</v>
      </c>
      <c r="S9" s="145">
        <f t="shared" ref="S9:S31" si="3">SUM(N9:R9)</f>
        <v>3750</v>
      </c>
      <c r="T9" s="191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</row>
    <row r="10" spans="1:41" ht="11.45" x14ac:dyDescent="0.2">
      <c r="A10" s="149">
        <v>3</v>
      </c>
      <c r="B10" s="150" t="s">
        <v>200</v>
      </c>
      <c r="C10" s="150"/>
      <c r="D10" s="151"/>
      <c r="E10" s="152">
        <v>50000</v>
      </c>
      <c r="F10" s="173">
        <v>0.25</v>
      </c>
      <c r="G10" s="173">
        <v>0</v>
      </c>
      <c r="H10" s="173">
        <v>0</v>
      </c>
      <c r="I10" s="173">
        <v>0</v>
      </c>
      <c r="J10" s="173">
        <v>0</v>
      </c>
      <c r="K10" s="147" t="s">
        <v>165</v>
      </c>
      <c r="L10" s="147">
        <v>12</v>
      </c>
      <c r="M10" s="148">
        <v>0.03</v>
      </c>
      <c r="N10" s="182">
        <f t="shared" si="0"/>
        <v>12500</v>
      </c>
      <c r="O10" s="182">
        <f t="shared" si="1"/>
        <v>0</v>
      </c>
      <c r="P10" s="182">
        <f t="shared" si="2"/>
        <v>0</v>
      </c>
      <c r="Q10" s="182">
        <f>IF(Worksheet!$C$4=Worksheet!$D$4,(IF(AND($S$4="Multi",$R$4="FY"),ROUND(((1+$M10)^(Worksheet!$B$20+2)*Worksheet!$F$9+(1+$M10)^(Worksheet!$B$20+3)*Worksheet!$F$10)/12*Request!$E10*Request!$I10,0),(IF(AND($S$4="Multi",$R$4="PY"),ROUND($E10*$I10*((1+$M10)^3)/12*Worksheet!$F$5,0),(IF(AND($S$4&lt;&gt;"Multi",$R$4="FY"),ROUND(((1+$S$4)^(Worksheet!$B$20+2)*Worksheet!$F$9+(1+$S$4)^(Worksheet!$B$20+3)*Worksheet!$F$10)/12*Request!$E10*Request!$I10,0),ROUND($E10*$I10*((1+$S$4)^3)/12*Worksheet!$F$5,0))))))),(IF(AND($S$4="Multi",$R$4="FY"),ROUND(((1+$M10)^(Worksheet!$B$20+3)*Worksheet!$F$9+(1+$M10)^(Worksheet!$B$20+4)*Worksheet!$F$10)/12*Request!$E10*Request!$I10,0),(IF(AND($S$4="Multi",$R$4="PY"),ROUND($E10*$I10*((1+$M10)^3)/12*Worksheet!$F$5,0),(IF(AND($S$4&lt;&gt;"Multi",$R$4="FY"),ROUND(((1+$S$4)^(Worksheet!$B$20+3)*Worksheet!$F$9+(1+$S$4)^(Worksheet!$B$20+4)*Worksheet!$F$10)/12*Request!$E10*Request!$I10,0),ROUND($E10*$I10*((1+$S$4)^3)/12*Worksheet!$F$5,0))))))))</f>
        <v>0</v>
      </c>
      <c r="R10" s="182">
        <f>IF(Worksheet!$C$4=Worksheet!$D$4,(IF(AND($S$4="Multi",$R$4="FY"),ROUND(((1+$M10)^(Worksheet!$B$20+3)*Worksheet!$G$9+(1+$M10)^(Worksheet!$B$20+4)*Worksheet!$G$10)/12*Request!$E10*Request!$J10,0),(IF(AND($S$4="Multi",$R$4="PY"),ROUND($E10*$J10*((1+$M10)^4)/12*Worksheet!$G$5,0),(IF(AND($S$4&lt;&gt;"Multi",$R$4="FY"),ROUND(((1+$S$4)^(Worksheet!$B$20+3)*Worksheet!$G$9+(1+$S$4)^(Worksheet!$B$20+4)*Worksheet!$G$10)/12*Request!$E10*Request!$J10,0),ROUND($E10*$J10*((1+$S$4)^4)/12*Worksheet!$G$5,0))))))),(IF(AND($S$4="Multi",$R$4="FY"),ROUND(((1+$M10)^(Worksheet!$B$20+4)*Worksheet!$G$9+(1+$M10)^(Worksheet!$B$20+5)*Worksheet!$G$10)/12*Request!$E10*Request!$J10,0),(IF(AND($S$4="Multi",$R$4="PY"),ROUND($E10*$J10*((1+$M10)^4)/12*Worksheet!$G$5,0),(IF(AND($S$4&lt;&gt;"Multi",$R$4="FY"),ROUND(((1+$S$4)^(Worksheet!$B$20+4)*Worksheet!$G$9+(1+$S$4)^(Worksheet!$B$20+5)*Worksheet!$G$10)/12*Request!$E10*Request!$J10,0),ROUND($E10*$J10*((1+$S$4)^4)/12*Worksheet!$G$5,0))))))))</f>
        <v>0</v>
      </c>
      <c r="S10" s="145">
        <f t="shared" si="3"/>
        <v>12500</v>
      </c>
      <c r="T10" s="191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</row>
    <row r="11" spans="1:41" ht="11.45" x14ac:dyDescent="0.2">
      <c r="A11" s="149">
        <v>4</v>
      </c>
      <c r="B11" s="150" t="s">
        <v>200</v>
      </c>
      <c r="C11" s="150"/>
      <c r="D11" s="151"/>
      <c r="E11" s="152">
        <v>25000</v>
      </c>
      <c r="F11" s="173">
        <v>0.05</v>
      </c>
      <c r="G11" s="173">
        <v>0</v>
      </c>
      <c r="H11" s="173">
        <v>0</v>
      </c>
      <c r="I11" s="173">
        <v>0</v>
      </c>
      <c r="J11" s="173">
        <v>0</v>
      </c>
      <c r="K11" s="147" t="s">
        <v>165</v>
      </c>
      <c r="L11" s="147">
        <v>12</v>
      </c>
      <c r="M11" s="148">
        <v>0.03</v>
      </c>
      <c r="N11" s="182">
        <f t="shared" si="0"/>
        <v>1250</v>
      </c>
      <c r="O11" s="182">
        <f t="shared" si="1"/>
        <v>0</v>
      </c>
      <c r="P11" s="182">
        <f t="shared" si="2"/>
        <v>0</v>
      </c>
      <c r="Q11" s="182">
        <f>IF(Worksheet!$C$4=Worksheet!$D$4,(IF(AND($S$4="Multi",$R$4="FY"),ROUND(((1+$M11)^(Worksheet!$B$20+2)*Worksheet!$F$9+(1+$M11)^(Worksheet!$B$20+3)*Worksheet!$F$10)/12*Request!$E11*Request!$I11,0),(IF(AND($S$4="Multi",$R$4="PY"),ROUND($E11*$I11*((1+$M11)^3)/12*Worksheet!$F$5,0),(IF(AND($S$4&lt;&gt;"Multi",$R$4="FY"),ROUND(((1+$S$4)^(Worksheet!$B$20+2)*Worksheet!$F$9+(1+$S$4)^(Worksheet!$B$20+3)*Worksheet!$F$10)/12*Request!$E11*Request!$I11,0),ROUND($E11*$I11*((1+$S$4)^3)/12*Worksheet!$F$5,0))))))),(IF(AND($S$4="Multi",$R$4="FY"),ROUND(((1+$M11)^(Worksheet!$B$20+3)*Worksheet!$F$9+(1+$M11)^(Worksheet!$B$20+4)*Worksheet!$F$10)/12*Request!$E11*Request!$I11,0),(IF(AND($S$4="Multi",$R$4="PY"),ROUND($E11*$I11*((1+$M11)^3)/12*Worksheet!$F$5,0),(IF(AND($S$4&lt;&gt;"Multi",$R$4="FY"),ROUND(((1+$S$4)^(Worksheet!$B$20+3)*Worksheet!$F$9+(1+$S$4)^(Worksheet!$B$20+4)*Worksheet!$F$10)/12*Request!$E11*Request!$I11,0),ROUND($E11*$I11*((1+$S$4)^3)/12*Worksheet!$F$5,0))))))))</f>
        <v>0</v>
      </c>
      <c r="R11" s="182">
        <f>IF(Worksheet!$C$4=Worksheet!$D$4,(IF(AND($S$4="Multi",$R$4="FY"),ROUND(((1+$M11)^(Worksheet!$B$20+3)*Worksheet!$G$9+(1+$M11)^(Worksheet!$B$20+4)*Worksheet!$G$10)/12*Request!$E11*Request!$J11,0),(IF(AND($S$4="Multi",$R$4="PY"),ROUND($E11*$J11*((1+$M11)^4)/12*Worksheet!$G$5,0),(IF(AND($S$4&lt;&gt;"Multi",$R$4="FY"),ROUND(((1+$S$4)^(Worksheet!$B$20+3)*Worksheet!$G$9+(1+$S$4)^(Worksheet!$B$20+4)*Worksheet!$G$10)/12*Request!$E11*Request!$J11,0),ROUND($E11*$J11*((1+$S$4)^4)/12*Worksheet!$G$5,0))))))),(IF(AND($S$4="Multi",$R$4="FY"),ROUND(((1+$M11)^(Worksheet!$B$20+4)*Worksheet!$G$9+(1+$M11)^(Worksheet!$B$20+5)*Worksheet!$G$10)/12*Request!$E11*Request!$J11,0),(IF(AND($S$4="Multi",$R$4="PY"),ROUND($E11*$J11*((1+$M11)^4)/12*Worksheet!$G$5,0),(IF(AND($S$4&lt;&gt;"Multi",$R$4="FY"),ROUND(((1+$S$4)^(Worksheet!$B$20+4)*Worksheet!$G$9+(1+$S$4)^(Worksheet!$B$20+5)*Worksheet!$G$10)/12*Request!$E11*Request!$J11,0),ROUND($E11*$J11*((1+$S$4)^4)/12*Worksheet!$G$5,0))))))))</f>
        <v>0</v>
      </c>
      <c r="S11" s="145">
        <f t="shared" si="3"/>
        <v>1250</v>
      </c>
      <c r="T11" s="191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</row>
    <row r="12" spans="1:41" ht="12" customHeight="1" x14ac:dyDescent="0.2">
      <c r="A12" s="149">
        <v>5</v>
      </c>
      <c r="B12" s="150"/>
      <c r="C12" s="150"/>
      <c r="D12" s="151"/>
      <c r="E12" s="152">
        <v>0</v>
      </c>
      <c r="F12" s="173">
        <v>0</v>
      </c>
      <c r="G12" s="173">
        <v>0</v>
      </c>
      <c r="H12" s="173">
        <v>0</v>
      </c>
      <c r="I12" s="173">
        <v>0</v>
      </c>
      <c r="J12" s="173">
        <v>0</v>
      </c>
      <c r="K12" s="147" t="s">
        <v>165</v>
      </c>
      <c r="L12" s="147">
        <v>12</v>
      </c>
      <c r="M12" s="148">
        <v>0.03</v>
      </c>
      <c r="N12" s="182">
        <f t="shared" si="0"/>
        <v>0</v>
      </c>
      <c r="O12" s="182">
        <f t="shared" si="1"/>
        <v>0</v>
      </c>
      <c r="P12" s="182">
        <f t="shared" si="2"/>
        <v>0</v>
      </c>
      <c r="Q12" s="182">
        <f>IF(Worksheet!$C$4=Worksheet!$D$4,(IF(AND($S$4="Multi",$R$4="FY"),ROUND(((1+$M12)^(Worksheet!$B$20+2)*Worksheet!$F$9+(1+$M12)^(Worksheet!$B$20+3)*Worksheet!$F$10)/12*Request!$E12*Request!$I12,0),(IF(AND($S$4="Multi",$R$4="PY"),ROUND($E12*$I12*((1+$M12)^3)/12*Worksheet!$F$5,0),(IF(AND($S$4&lt;&gt;"Multi",$R$4="FY"),ROUND(((1+$S$4)^(Worksheet!$B$20+2)*Worksheet!$F$9+(1+$S$4)^(Worksheet!$B$20+3)*Worksheet!$F$10)/12*Request!$E12*Request!$I12,0),ROUND($E12*$I12*((1+$S$4)^3)/12*Worksheet!$F$5,0))))))),(IF(AND($S$4="Multi",$R$4="FY"),ROUND(((1+$M12)^(Worksheet!$B$20+3)*Worksheet!$F$9+(1+$M12)^(Worksheet!$B$20+4)*Worksheet!$F$10)/12*Request!$E12*Request!$I12,0),(IF(AND($S$4="Multi",$R$4="PY"),ROUND($E12*$I12*((1+$M12)^3)/12*Worksheet!$F$5,0),(IF(AND($S$4&lt;&gt;"Multi",$R$4="FY"),ROUND(((1+$S$4)^(Worksheet!$B$20+3)*Worksheet!$F$9+(1+$S$4)^(Worksheet!$B$20+4)*Worksheet!$F$10)/12*Request!$E12*Request!$I12,0),ROUND($E12*$I12*((1+$S$4)^3)/12*Worksheet!$F$5,0))))))))</f>
        <v>0</v>
      </c>
      <c r="R12" s="182">
        <f>IF(Worksheet!$C$4=Worksheet!$D$4,(IF(AND($S$4="Multi",$R$4="FY"),ROUND(((1+$M12)^(Worksheet!$B$20+3)*Worksheet!$G$9+(1+$M12)^(Worksheet!$B$20+4)*Worksheet!$G$10)/12*Request!$E12*Request!$J12,0),(IF(AND($S$4="Multi",$R$4="PY"),ROUND($E12*$J12*((1+$M12)^4)/12*Worksheet!$G$5,0),(IF(AND($S$4&lt;&gt;"Multi",$R$4="FY"),ROUND(((1+$S$4)^(Worksheet!$B$20+3)*Worksheet!$G$9+(1+$S$4)^(Worksheet!$B$20+4)*Worksheet!$G$10)/12*Request!$E12*Request!$J12,0),ROUND($E12*$J12*((1+$S$4)^4)/12*Worksheet!$G$5,0))))))),(IF(AND($S$4="Multi",$R$4="FY"),ROUND(((1+$M12)^(Worksheet!$B$20+4)*Worksheet!$G$9+(1+$M12)^(Worksheet!$B$20+5)*Worksheet!$G$10)/12*Request!$E12*Request!$J12,0),(IF(AND($S$4="Multi",$R$4="PY"),ROUND($E12*$J12*((1+$M12)^4)/12*Worksheet!$G$5,0),(IF(AND($S$4&lt;&gt;"Multi",$R$4="FY"),ROUND(((1+$S$4)^(Worksheet!$B$20+4)*Worksheet!$G$9+(1+$S$4)^(Worksheet!$B$20+5)*Worksheet!$G$10)/12*Request!$E12*Request!$J12,0),ROUND($E12*$J12*((1+$S$4)^4)/12*Worksheet!$G$5,0))))))))</f>
        <v>0</v>
      </c>
      <c r="S12" s="145">
        <f t="shared" si="3"/>
        <v>0</v>
      </c>
      <c r="T12" s="191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</row>
    <row r="13" spans="1:41" ht="12" customHeight="1" x14ac:dyDescent="0.2">
      <c r="A13" s="149">
        <v>6</v>
      </c>
      <c r="B13" s="150"/>
      <c r="C13" s="150"/>
      <c r="D13" s="151"/>
      <c r="E13" s="152">
        <v>0</v>
      </c>
      <c r="F13" s="173">
        <v>0</v>
      </c>
      <c r="G13" s="173"/>
      <c r="H13" s="173"/>
      <c r="I13" s="173"/>
      <c r="J13" s="173"/>
      <c r="K13" s="147" t="s">
        <v>165</v>
      </c>
      <c r="L13" s="147">
        <v>12</v>
      </c>
      <c r="M13" s="148">
        <v>0.03</v>
      </c>
      <c r="N13" s="182">
        <f t="shared" si="0"/>
        <v>0</v>
      </c>
      <c r="O13" s="182">
        <f t="shared" si="1"/>
        <v>0</v>
      </c>
      <c r="P13" s="182">
        <f t="shared" si="2"/>
        <v>0</v>
      </c>
      <c r="Q13" s="182">
        <f>IF(Worksheet!$C$4=Worksheet!$D$4,(IF(AND($S$4="Multi",$R$4="FY"),ROUND(((1+$M13)^(Worksheet!$B$20+2)*Worksheet!$F$9+(1+$M13)^(Worksheet!$B$20+3)*Worksheet!$F$10)/12*Request!$E13*Request!$I13,0),(IF(AND($S$4="Multi",$R$4="PY"),ROUND($E13*$I13*((1+$M13)^3)/12*Worksheet!$F$5,0),(IF(AND($S$4&lt;&gt;"Multi",$R$4="FY"),ROUND(((1+$S$4)^(Worksheet!$B$20+2)*Worksheet!$F$9+(1+$S$4)^(Worksheet!$B$20+3)*Worksheet!$F$10)/12*Request!$E13*Request!$I13,0),ROUND($E13*$I13*((1+$S$4)^3)/12*Worksheet!$F$5,0))))))),(IF(AND($S$4="Multi",$R$4="FY"),ROUND(((1+$M13)^(Worksheet!$B$20+3)*Worksheet!$F$9+(1+$M13)^(Worksheet!$B$20+4)*Worksheet!$F$10)/12*Request!$E13*Request!$I13,0),(IF(AND($S$4="Multi",$R$4="PY"),ROUND($E13*$I13*((1+$M13)^3)/12*Worksheet!$F$5,0),(IF(AND($S$4&lt;&gt;"Multi",$R$4="FY"),ROUND(((1+$S$4)^(Worksheet!$B$20+3)*Worksheet!$F$9+(1+$S$4)^(Worksheet!$B$20+4)*Worksheet!$F$10)/12*Request!$E13*Request!$I13,0),ROUND($E13*$I13*((1+$S$4)^3)/12*Worksheet!$F$5,0))))))))</f>
        <v>0</v>
      </c>
      <c r="R13" s="182">
        <f>IF(Worksheet!$C$4=Worksheet!$D$4,(IF(AND($S$4="Multi",$R$4="FY"),ROUND(((1+$M13)^(Worksheet!$B$20+3)*Worksheet!$G$9+(1+$M13)^(Worksheet!$B$20+4)*Worksheet!$G$10)/12*Request!$E13*Request!$J13,0),(IF(AND($S$4="Multi",$R$4="PY"),ROUND($E13*$J13*((1+$M13)^4)/12*Worksheet!$G$5,0),(IF(AND($S$4&lt;&gt;"Multi",$R$4="FY"),ROUND(((1+$S$4)^(Worksheet!$B$20+3)*Worksheet!$G$9+(1+$S$4)^(Worksheet!$B$20+4)*Worksheet!$G$10)/12*Request!$E13*Request!$J13,0),ROUND($E13*$J13*((1+$S$4)^4)/12*Worksheet!$G$5,0))))))),(IF(AND($S$4="Multi",$R$4="FY"),ROUND(((1+$M13)^(Worksheet!$B$20+4)*Worksheet!$G$9+(1+$M13)^(Worksheet!$B$20+5)*Worksheet!$G$10)/12*Request!$E13*Request!$J13,0),(IF(AND($S$4="Multi",$R$4="PY"),ROUND($E13*$J13*((1+$M13)^4)/12*Worksheet!$G$5,0),(IF(AND($S$4&lt;&gt;"Multi",$R$4="FY"),ROUND(((1+$S$4)^(Worksheet!$B$20+4)*Worksheet!$G$9+(1+$S$4)^(Worksheet!$B$20+5)*Worksheet!$G$10)/12*Request!$E13*Request!$J13,0),ROUND($E13*$J13*((1+$S$4)^4)/12*Worksheet!$G$5,0))))))))</f>
        <v>0</v>
      </c>
      <c r="S13" s="145">
        <f t="shared" si="3"/>
        <v>0</v>
      </c>
      <c r="T13" s="191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</row>
    <row r="14" spans="1:41" ht="12" customHeight="1" x14ac:dyDescent="0.2">
      <c r="A14" s="149">
        <v>7</v>
      </c>
      <c r="B14" s="150"/>
      <c r="C14" s="150"/>
      <c r="D14" s="151"/>
      <c r="E14" s="152"/>
      <c r="F14" s="173"/>
      <c r="G14" s="173"/>
      <c r="H14" s="173"/>
      <c r="I14" s="173"/>
      <c r="J14" s="173"/>
      <c r="K14" s="147" t="s">
        <v>165</v>
      </c>
      <c r="L14" s="147">
        <v>12</v>
      </c>
      <c r="M14" s="148">
        <v>0.03</v>
      </c>
      <c r="N14" s="182">
        <f t="shared" si="0"/>
        <v>0</v>
      </c>
      <c r="O14" s="182">
        <f>IF(Worksheet!$C$4=Worksheet!$D$4,(IF(AND($S$4="Multi",$R$4="FY"),ROUND(((1+$M14)^(Worksheet!$B$20)*Worksheet!$D$9+(1+$M14)^(Worksheet!$B$20+1)*Worksheet!$D$10)/12*Request!$E14*Request!$G14,0),(IF(AND($S$4="Multi",$R$4="PY"),ROUND($E14*$G14*(1+M14)/12*Worksheet!$D$5,0),(IF(AND($S$4&lt;&gt;"Multi",$R$4="FY"),ROUND(((1+$S$4)^(Worksheet!$B$20)*Worksheet!$D$9+(1+$S$4)^(Worksheet!$B$20+1)*Worksheet!$D$10)/12*Request!$E14*Request!$G14,0),ROUND($E14*$G14*(1+$S$4)/12*Worksheet!$D$5,0))))))),(IF(AND($S$4="Multi",$R$4="FY"),ROUND(((1+$M14)^(Worksheet!$B$20+1)*Worksheet!$D$9+(1+$M14)^(Worksheet!$B$20+2)*Worksheet!$D$10)/12*Request!$E14*Request!$G14,0),(IF(AND($S$4="Multi",$R$4="PY"),ROUND($E14*$G14*(1+M14)/12*Worksheet!$D$5,0),(IF(AND($S$4&lt;&gt;"Multi",$R$4="FY"),ROUND(((1+$S$4)^(Worksheet!$B$20+1)*Worksheet!$D$9+(1+$S$4)^(Worksheet!$B$20+2)*Worksheet!$D$10)/12*Request!$E14*Request!$G14,0),ROUND($E14*$G14*(1+$S$4)/12*Worksheet!$D$5,0))))))))</f>
        <v>0</v>
      </c>
      <c r="P14" s="182">
        <f>IF(Worksheet!$C$4=Worksheet!$D$4,(IF(AND($S$4="Multi",$R$4="FY"),ROUND(((1+$M14)^(Worksheet!$B$20+1)*Worksheet!$E$9+(1+$M14)^(Worksheet!$B$20+2)*Worksheet!$E$10)/12*Request!$E14*Request!H14,0),(IF(AND($S$4="Multi",$R$4="PY"),ROUND($E14*H14*((1+$M14)^2)/12*Worksheet!$E$5,0),(IF(AND($S$4&lt;&gt;"Multi",$R$4="FY"),ROUND(((1+$S$4)^(Worksheet!$B$20+1)*Worksheet!$E$9+(1+$S$4)^(Worksheet!$B$20+2)*Worksheet!$E$10)/12*Request!$E14*Request!H14,0),ROUND($E14*H14*((1+$S$4)^2)/12*Worksheet!$E$5,0))))))),(IF(AND($S$4="Multi",$R$4="FY"),ROUND(((1+$M14)^(Worksheet!$B$20+2)*Worksheet!$E$9+(1+$M14)^(Worksheet!$B$20+3)*Worksheet!$E$10)/12*Request!$E14*Request!H14,0),(IF(AND($S$4="Multi",$R$4="PY"),ROUND($E14*H14*((1+$M14)^2)/12*Worksheet!$E$5,0),(IF(AND($S$4&lt;&gt;"Multi",$R$4="FY"),ROUND(((1+$S$4)^(Worksheet!$B$20+2)*Worksheet!$E$9+(1+$S$4)^(Worksheet!$B$20+3)*Worksheet!$E$10)/12*Request!$E14*Request!H14,0),ROUND($E14*H14*((1+$S$4)^2)/12*Worksheet!$E$5,0))))))))</f>
        <v>0</v>
      </c>
      <c r="Q14" s="182">
        <f>IF(Worksheet!$C$4=Worksheet!$D$4,(IF(AND($S$4="Multi",$R$4="FY"),ROUND(((1+$M14)^(Worksheet!$B$20+2)*Worksheet!$F$9+(1+$M14)^(Worksheet!$B$20+3)*Worksheet!$F$10)/12*Request!$E14*Request!$I14,0),(IF(AND($S$4="Multi",$R$4="PY"),ROUND($E14*$I14*((1+$M14)^3)/12*Worksheet!$F$5,0),(IF(AND($S$4&lt;&gt;"Multi",$R$4="FY"),ROUND(((1+$S$4)^(Worksheet!$B$20+2)*Worksheet!$F$9+(1+$S$4)^(Worksheet!$B$20+3)*Worksheet!$F$10)/12*Request!$E14*Request!$I14,0),ROUND($E14*$I14*((1+$S$4)^3)/12*Worksheet!$F$5,0))))))),(IF(AND($S$4="Multi",$R$4="FY"),ROUND(((1+$M14)^(Worksheet!$B$20+3)*Worksheet!$F$9+(1+$M14)^(Worksheet!$B$20+4)*Worksheet!$F$10)/12*Request!$E14*Request!$I14,0),(IF(AND($S$4="Multi",$R$4="PY"),ROUND($E14*$I14*((1+$M14)^3)/12*Worksheet!$F$5,0),(IF(AND($S$4&lt;&gt;"Multi",$R$4="FY"),ROUND(((1+$S$4)^(Worksheet!$B$20+3)*Worksheet!$F$9+(1+$S$4)^(Worksheet!$B$20+4)*Worksheet!$F$10)/12*Request!$E14*Request!$I14,0),ROUND($E14*$I14*((1+$S$4)^3)/12*Worksheet!$F$5,0))))))))</f>
        <v>0</v>
      </c>
      <c r="R14" s="182">
        <f>IF(Worksheet!$C$4=Worksheet!$D$4,(IF(AND($S$4="Multi",$R$4="FY"),ROUND(((1+$M14)^(Worksheet!$B$20+3)*Worksheet!$G$9+(1+$M14)^(Worksheet!$B$20+4)*Worksheet!$G$10)/12*Request!$E14*Request!$J14,0),(IF(AND($S$4="Multi",$R$4="PY"),ROUND($E14*$J14*((1+$M14)^4)/12*Worksheet!$G$5,0),(IF(AND($S$4&lt;&gt;"Multi",$R$4="FY"),ROUND(((1+$S$4)^(Worksheet!$B$20+3)*Worksheet!$G$9+(1+$S$4)^(Worksheet!$B$20+4)*Worksheet!$G$10)/12*Request!$E14*Request!$J14,0),ROUND($E14*$J14*((1+$S$4)^4)/12*Worksheet!$G$5,0))))))),(IF(AND($S$4="Multi",$R$4="FY"),ROUND(((1+$M14)^(Worksheet!$B$20+4)*Worksheet!$G$9+(1+$M14)^(Worksheet!$B$20+5)*Worksheet!$G$10)/12*Request!$E14*Request!$J14,0),(IF(AND($S$4="Multi",$R$4="PY"),ROUND($E14*$J14*((1+$M14)^4)/12*Worksheet!$G$5,0),(IF(AND($S$4&lt;&gt;"Multi",$R$4="FY"),ROUND(((1+$S$4)^(Worksheet!$B$20+4)*Worksheet!$G$9+(1+$S$4)^(Worksheet!$B$20+5)*Worksheet!$G$10)/12*Request!$E14*Request!$J14,0),ROUND($E14*$J14*((1+$S$4)^4)/12*Worksheet!$G$5,0))))))))</f>
        <v>0</v>
      </c>
      <c r="S14" s="145">
        <f t="shared" si="3"/>
        <v>0</v>
      </c>
      <c r="T14" s="191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</row>
    <row r="15" spans="1:41" ht="12" customHeight="1" x14ac:dyDescent="0.2">
      <c r="A15" s="149">
        <v>8</v>
      </c>
      <c r="B15" s="150"/>
      <c r="C15" s="150"/>
      <c r="D15" s="151"/>
      <c r="E15" s="152"/>
      <c r="F15" s="173"/>
      <c r="G15" s="173"/>
      <c r="H15" s="173"/>
      <c r="I15" s="173"/>
      <c r="J15" s="173"/>
      <c r="K15" s="147" t="s">
        <v>165</v>
      </c>
      <c r="L15" s="147">
        <v>12</v>
      </c>
      <c r="M15" s="148">
        <v>0.03</v>
      </c>
      <c r="N15" s="182">
        <f t="shared" si="0"/>
        <v>0</v>
      </c>
      <c r="O15" s="182">
        <f>IF(Worksheet!$C$4=Worksheet!$D$4,(IF(AND($S$4="Multi",$R$4="FY"),ROUND(((1+$M15)^(Worksheet!$B$20)*Worksheet!$D$9+(1+$M15)^(Worksheet!$B$20+1)*Worksheet!$D$10)/12*Request!$E15*Request!$G15,0),(IF(AND($S$4="Multi",$R$4="PY"),ROUND($E15*$G15*(1+M15)/12*Worksheet!$D$5,0),(IF(AND($S$4&lt;&gt;"Multi",$R$4="FY"),ROUND(((1+$S$4)^(Worksheet!$B$20)*Worksheet!$D$9+(1+$S$4)^(Worksheet!$B$20+1)*Worksheet!$D$10)/12*Request!$E15*Request!$G15,0),ROUND($E15*$G15*(1+$S$4)/12*Worksheet!$D$5,0))))))),(IF(AND($S$4="Multi",$R$4="FY"),ROUND(((1+$M15)^(Worksheet!$B$20+1)*Worksheet!$D$9+(1+$M15)^(Worksheet!$B$20+2)*Worksheet!$D$10)/12*Request!$E15*Request!$G15,0),(IF(AND($S$4="Multi",$R$4="PY"),ROUND($E15*$G15*(1+M15)/12*Worksheet!$D$5,0),(IF(AND($S$4&lt;&gt;"Multi",$R$4="FY"),ROUND(((1+$S$4)^(Worksheet!$B$20+1)*Worksheet!$D$9+(1+$S$4)^(Worksheet!$B$20+2)*Worksheet!$D$10)/12*Request!$E15*Request!$G15,0),ROUND($E15*$G15*(1+$S$4)/12*Worksheet!$D$5,0))))))))</f>
        <v>0</v>
      </c>
      <c r="P15" s="182">
        <f>IF(Worksheet!$C$4=Worksheet!$D$4,(IF(AND($S$4="Multi",$R$4="FY"),ROUND(((1+$M15)^(Worksheet!$B$20+1)*Worksheet!$E$9+(1+$M15)^(Worksheet!$B$20+2)*Worksheet!$E$10)/12*Request!$E15*Request!H15,0),(IF(AND($S$4="Multi",$R$4="PY"),ROUND($E15*H15*((1+$M15)^2)/12*Worksheet!$E$5,0),(IF(AND($S$4&lt;&gt;"Multi",$R$4="FY"),ROUND(((1+$S$4)^(Worksheet!$B$20+1)*Worksheet!$E$9+(1+$S$4)^(Worksheet!$B$20+2)*Worksheet!$E$10)/12*Request!$E15*Request!H15,0),ROUND($E15*H15*((1+$S$4)^2)/12*Worksheet!$E$5,0))))))),(IF(AND($S$4="Multi",$R$4="FY"),ROUND(((1+$M15)^(Worksheet!$B$20+2)*Worksheet!$E$9+(1+$M15)^(Worksheet!$B$20+3)*Worksheet!$E$10)/12*Request!$E15*Request!H15,0),(IF(AND($S$4="Multi",$R$4="PY"),ROUND($E15*H15*((1+$M15)^2)/12*Worksheet!$E$5,0),(IF(AND($S$4&lt;&gt;"Multi",$R$4="FY"),ROUND(((1+$S$4)^(Worksheet!$B$20+2)*Worksheet!$E$9+(1+$S$4)^(Worksheet!$B$20+3)*Worksheet!$E$10)/12*Request!$E15*Request!H15,0),ROUND($E15*H15*((1+$S$4)^2)/12*Worksheet!$E$5,0))))))))</f>
        <v>0</v>
      </c>
      <c r="Q15" s="182">
        <f>IF(Worksheet!$C$4=Worksheet!$D$4,(IF(AND($S$4="Multi",$R$4="FY"),ROUND(((1+$M15)^(Worksheet!$B$20+2)*Worksheet!$F$9+(1+$M15)^(Worksheet!$B$20+3)*Worksheet!$F$10)/12*Request!$E15*Request!$I15,0),(IF(AND($S$4="Multi",$R$4="PY"),ROUND($E15*$I15*((1+$M15)^3)/12*Worksheet!$F$5,0),(IF(AND($S$4&lt;&gt;"Multi",$R$4="FY"),ROUND(((1+$S$4)^(Worksheet!$B$20+2)*Worksheet!$F$9+(1+$S$4)^(Worksheet!$B$20+3)*Worksheet!$F$10)/12*Request!$E15*Request!$I15,0),ROUND($E15*$I15*((1+$S$4)^3)/12*Worksheet!$F$5,0))))))),(IF(AND($S$4="Multi",$R$4="FY"),ROUND(((1+$M15)^(Worksheet!$B$20+3)*Worksheet!$F$9+(1+$M15)^(Worksheet!$B$20+4)*Worksheet!$F$10)/12*Request!$E15*Request!$I15,0),(IF(AND($S$4="Multi",$R$4="PY"),ROUND($E15*$I15*((1+$M15)^3)/12*Worksheet!$F$5,0),(IF(AND($S$4&lt;&gt;"Multi",$R$4="FY"),ROUND(((1+$S$4)^(Worksheet!$B$20+3)*Worksheet!$F$9+(1+$S$4)^(Worksheet!$B$20+4)*Worksheet!$F$10)/12*Request!$E15*Request!$I15,0),ROUND($E15*$I15*((1+$S$4)^3)/12*Worksheet!$F$5,0))))))))</f>
        <v>0</v>
      </c>
      <c r="R15" s="182">
        <f>IF(Worksheet!$C$4=Worksheet!$D$4,(IF(AND($S$4="Multi",$R$4="FY"),ROUND(((1+$M15)^(Worksheet!$B$20+3)*Worksheet!$G$9+(1+$M15)^(Worksheet!$B$20+4)*Worksheet!$G$10)/12*Request!$E15*Request!$J15,0),(IF(AND($S$4="Multi",$R$4="PY"),ROUND($E15*$J15*((1+$M15)^4)/12*Worksheet!$G$5,0),(IF(AND($S$4&lt;&gt;"Multi",$R$4="FY"),ROUND(((1+$S$4)^(Worksheet!$B$20+3)*Worksheet!$G$9+(1+$S$4)^(Worksheet!$B$20+4)*Worksheet!$G$10)/12*Request!$E15*Request!$J15,0),ROUND($E15*$J15*((1+$S$4)^4)/12*Worksheet!$G$5,0))))))),(IF(AND($S$4="Multi",$R$4="FY"),ROUND(((1+$M15)^(Worksheet!$B$20+4)*Worksheet!$G$9+(1+$M15)^(Worksheet!$B$20+5)*Worksheet!$G$10)/12*Request!$E15*Request!$J15,0),(IF(AND($S$4="Multi",$R$4="PY"),ROUND($E15*$J15*((1+$M15)^4)/12*Worksheet!$G$5,0),(IF(AND($S$4&lt;&gt;"Multi",$R$4="FY"),ROUND(((1+$S$4)^(Worksheet!$B$20+4)*Worksheet!$G$9+(1+$S$4)^(Worksheet!$B$20+5)*Worksheet!$G$10)/12*Request!$E15*Request!$J15,0),ROUND($E15*$J15*((1+$S$4)^4)/12*Worksheet!$G$5,0))))))))</f>
        <v>0</v>
      </c>
      <c r="S15" s="145">
        <f t="shared" si="3"/>
        <v>0</v>
      </c>
      <c r="T15" s="191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</row>
    <row r="16" spans="1:41" ht="12" hidden="1" customHeight="1" x14ac:dyDescent="0.2">
      <c r="A16" s="149">
        <v>9</v>
      </c>
      <c r="B16" s="150"/>
      <c r="C16" s="150"/>
      <c r="D16" s="151"/>
      <c r="E16" s="152"/>
      <c r="F16" s="173"/>
      <c r="G16" s="173"/>
      <c r="H16" s="173"/>
      <c r="I16" s="173"/>
      <c r="J16" s="173"/>
      <c r="K16" s="147" t="s">
        <v>165</v>
      </c>
      <c r="L16" s="147">
        <v>12</v>
      </c>
      <c r="M16" s="148">
        <v>0.03</v>
      </c>
      <c r="N16" s="182">
        <f>IF(AND($S$4="Multi",$R$4="FY"),ROUND(((1+$M16)^Worksheet!$B$20*Worksheet!$C$9+(1+$M16)^(Worksheet!$B$20+1)*Worksheet!$C$10)/12*Request!$E16*Request!$F16,0),(IF(AND($S$4="Multi",$R$4="PY"),ROUND(E16*F16/12*Worksheet!$C$5,0),(IF(AND($S$4&lt;&gt;"Multi",$R$4="FY"),ROUND(((1+$S$4)^Worksheet!$B$20*Worksheet!$C$9+(1+$S$4)^(Worksheet!$B$20+1)*Worksheet!$C$10)/12*Request!$E16*Request!$F16,0),ROUND($E16*$F16/12*Worksheet!$C$5,0))))))</f>
        <v>0</v>
      </c>
      <c r="O16" s="182">
        <f>IF(Worksheet!$C$4=Worksheet!$D$4,(IF(AND($S$4="Multi",$R$4="FY"),ROUND(((1+$M16)^(Worksheet!$B$20)*Worksheet!$D$9+(1+$M16)^(Worksheet!$B$20+1)*Worksheet!$D$10)/12*Request!$E16*Request!$G16,0),(IF(AND($S$4="Multi",$R$4="PY"),ROUND($E16*$G16*(1+M16)/12*Worksheet!$D$5,0),(IF(AND($S$4&lt;&gt;"Multi",$R$4="FY"),ROUND(((1+$S$4)^(Worksheet!$B$20)*Worksheet!$D$9+(1+$S$4)^(Worksheet!$B$20+1)*Worksheet!$D$10)/12*Request!$E16*Request!$G16,0),ROUND($E16*$G16*(1+$S$4)/12*Worksheet!$D$5,0))))))),(IF(AND($S$4="Multi",$R$4="FY"),ROUND(((1+$M16)^(Worksheet!$B$20+1)*Worksheet!$D$9+(1+$M16)^(Worksheet!$B$20+2)*Worksheet!$D$10)/12*Request!$E16*Request!$G16,0),(IF(AND($S$4="Multi",$R$4="PY"),ROUND($E16*$G16*(1+M16)/12*Worksheet!$D$5,0),(IF(AND($S$4&lt;&gt;"Multi",$R$4="FY"),ROUND(((1+$S$4)^(Worksheet!$B$20+1)*Worksheet!$D$9+(1+$S$4)^(Worksheet!$B$20+2)*Worksheet!$D$10)/12*Request!$E16*Request!$G16,0),ROUND($E16*$G16*(1+$S$4)/12*Worksheet!$D$5,0))))))))</f>
        <v>0</v>
      </c>
      <c r="P16" s="182">
        <f>IF(Worksheet!$C$4=Worksheet!$D$4,(IF(AND($S$4="Multi",$R$4="FY"),ROUND(((1+$M16)^(Worksheet!$B$20+1)*Worksheet!$E$9+(1+$M16)^(Worksheet!$B$20+2)*Worksheet!$E$10)/12*Request!$E16*Request!H16,0),(IF(AND($S$4="Multi",$R$4="PY"),ROUND($E16*H16*((1+$M16)^2)/12*Worksheet!$E$5,0),(IF(AND($S$4&lt;&gt;"Multi",$R$4="FY"),ROUND(((1+$S$4)^(Worksheet!$B$20+1)*Worksheet!$E$9+(1+$S$4)^(Worksheet!$B$20+2)*Worksheet!$E$10)/12*Request!$E16*Request!H16,0),ROUND($E16*H16*((1+$S$4)^2)/12*Worksheet!$E$5,0))))))),(IF(AND($S$4="Multi",$R$4="FY"),ROUND(((1+$M16)^(Worksheet!$B$20+2)*Worksheet!$E$9+(1+$M16)^(Worksheet!$B$20+3)*Worksheet!$E$10)/12*Request!$E16*Request!H16,0),(IF(AND($S$4="Multi",$R$4="PY"),ROUND($E16*H16*((1+$M16)^2)/12*Worksheet!$E$5,0),(IF(AND($S$4&lt;&gt;"Multi",$R$4="FY"),ROUND(((1+$S$4)^(Worksheet!$B$20+2)*Worksheet!$E$9+(1+$S$4)^(Worksheet!$B$20+3)*Worksheet!$E$10)/12*Request!$E16*Request!H16,0),ROUND($E16*H16*((1+$S$4)^2)/12*Worksheet!$E$5,0))))))))</f>
        <v>0</v>
      </c>
      <c r="Q16" s="182">
        <f>IF(Worksheet!$C$4=Worksheet!$D$4,(IF(AND($S$4="Multi",$R$4="FY"),ROUND(((1+$M16)^(Worksheet!$B$20+2)*Worksheet!$F$9+(1+$M16)^(Worksheet!$B$20+3)*Worksheet!$F$10)/12*Request!$E16*Request!$I16,0),(IF(AND($S$4="Multi",$R$4="PY"),ROUND($E16*$I16*((1+$M16)^3)/12*Worksheet!$F$5,0),(IF(AND($S$4&lt;&gt;"Multi",$R$4="FY"),ROUND(((1+$S$4)^(Worksheet!$B$20+2)*Worksheet!$F$9+(1+$S$4)^(Worksheet!$B$20+3)*Worksheet!$F$10)/12*Request!$E16*Request!$I16,0),ROUND($E16*$I16*((1+$S$4)^3)/12*Worksheet!$F$5,0))))))),(IF(AND($S$4="Multi",$R$4="FY"),ROUND(((1+$M16)^(Worksheet!$B$20+3)*Worksheet!$F$9+(1+$M16)^(Worksheet!$B$20+4)*Worksheet!$F$10)/12*Request!$E16*Request!$I16,0),(IF(AND($S$4="Multi",$R$4="PY"),ROUND($E16*$I16*((1+$M16)^3)/12*Worksheet!$F$5,0),(IF(AND($S$4&lt;&gt;"Multi",$R$4="FY"),ROUND(((1+$S$4)^(Worksheet!$B$20+3)*Worksheet!$F$9+(1+$S$4)^(Worksheet!$B$20+4)*Worksheet!$F$10)/12*Request!$E16*Request!$I16,0),ROUND($E16*$I16*((1+$S$4)^3)/12*Worksheet!$F$5,0))))))))</f>
        <v>0</v>
      </c>
      <c r="R16" s="182">
        <f>IF(Worksheet!$C$4=Worksheet!$D$4,(IF(AND($S$4="Multi",$R$4="FY"),ROUND(((1+$M16)^(Worksheet!$B$20+3)*Worksheet!$G$9+(1+$M16)^(Worksheet!$B$20+4)*Worksheet!$G$10)/12*Request!$E16*Request!$J16,0),(IF(AND($S$4="Multi",$R$4="PY"),ROUND($E16*$J16*((1+$M16)^4)/12*Worksheet!$G$5,0),(IF(AND($S$4&lt;&gt;"Multi",$R$4="FY"),ROUND(((1+$S$4)^(Worksheet!$B$20+3)*Worksheet!$G$9+(1+$S$4)^(Worksheet!$B$20+4)*Worksheet!$G$10)/12*Request!$E16*Request!$J16,0),ROUND($E16*$J16*((1+$S$4)^4)/12*Worksheet!$G$5,0))))))),(IF(AND($S$4="Multi",$R$4="FY"),ROUND(((1+$M16)^(Worksheet!$B$20+4)*Worksheet!$G$9+(1+$M16)^(Worksheet!$B$20+5)*Worksheet!$G$10)/12*Request!$E16*Request!$J16,0),(IF(AND($S$4="Multi",$R$4="PY"),ROUND($E16*$J16*((1+$M16)^4)/12*Worksheet!$G$5,0),(IF(AND($S$4&lt;&gt;"Multi",$R$4="FY"),ROUND(((1+$S$4)^(Worksheet!$B$20+4)*Worksheet!$G$9+(1+$S$4)^(Worksheet!$B$20+5)*Worksheet!$G$10)/12*Request!$E16*Request!$J16,0),ROUND($E16*$J16*((1+$S$4)^4)/12*Worksheet!$G$5,0))))))))</f>
        <v>0</v>
      </c>
      <c r="S16" s="145">
        <f t="shared" si="3"/>
        <v>0</v>
      </c>
      <c r="T16" s="191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</row>
    <row r="17" spans="1:41" ht="12" hidden="1" customHeight="1" x14ac:dyDescent="0.2">
      <c r="A17" s="149">
        <v>10</v>
      </c>
      <c r="B17" s="150"/>
      <c r="C17" s="150"/>
      <c r="D17" s="151"/>
      <c r="E17" s="152"/>
      <c r="F17" s="173"/>
      <c r="G17" s="173"/>
      <c r="H17" s="173"/>
      <c r="I17" s="173"/>
      <c r="J17" s="173"/>
      <c r="K17" s="147" t="s">
        <v>165</v>
      </c>
      <c r="L17" s="147">
        <v>12</v>
      </c>
      <c r="M17" s="148">
        <v>0.03</v>
      </c>
      <c r="N17" s="182">
        <f>IF(AND($S$4="Multi",$R$4="FY"),ROUND(((1+$M17)^Worksheet!$B$20*Worksheet!$C$9+(1+$M17)^(Worksheet!$B$20+1)*Worksheet!$C$10)/12*Request!$E17*Request!$F17,0),(IF(AND($S$4="Multi",$R$4="PY"),ROUND(E17*F17/12*Worksheet!$C$5,0),(IF(AND($S$4&lt;&gt;"Multi",$R$4="FY"),ROUND(((1+$S$4)^Worksheet!$B$20*Worksheet!$C$9+(1+$S$4)^(Worksheet!$B$20+1)*Worksheet!$C$10)/12*Request!$E17*Request!$F17,0),ROUND($E17*$F17/12*Worksheet!$C$5,0))))))</f>
        <v>0</v>
      </c>
      <c r="O17" s="182">
        <f>IF(Worksheet!$C$4=Worksheet!$D$4,(IF(AND($S$4="Multi",$R$4="FY"),ROUND(((1+$M17)^(Worksheet!$B$20)*Worksheet!$D$9+(1+$M17)^(Worksheet!$B$20+1)*Worksheet!$D$10)/12*Request!$E17*Request!$G17,0),(IF(AND($S$4="Multi",$R$4="PY"),ROUND($E17*$G17*(1+M17)/12*Worksheet!$D$5,0),(IF(AND($S$4&lt;&gt;"Multi",$R$4="FY"),ROUND(((1+$S$4)^(Worksheet!$B$20)*Worksheet!$D$9+(1+$S$4)^(Worksheet!$B$20+1)*Worksheet!$D$10)/12*Request!$E17*Request!$G17,0),ROUND($E17*$G17*(1+$S$4)/12*Worksheet!$D$5,0))))))),(IF(AND($S$4="Multi",$R$4="FY"),ROUND(((1+$M17)^(Worksheet!$B$20+1)*Worksheet!$D$9+(1+$M17)^(Worksheet!$B$20+2)*Worksheet!$D$10)/12*Request!$E17*Request!$G17,0),(IF(AND($S$4="Multi",$R$4="PY"),ROUND($E17*$G17*(1+M17)/12*Worksheet!$D$5,0),(IF(AND($S$4&lt;&gt;"Multi",$R$4="FY"),ROUND(((1+$S$4)^(Worksheet!$B$20+1)*Worksheet!$D$9+(1+$S$4)^(Worksheet!$B$20+2)*Worksheet!$D$10)/12*Request!$E17*Request!$G17,0),ROUND($E17*$G17*(1+$S$4)/12*Worksheet!$D$5,0))))))))</f>
        <v>0</v>
      </c>
      <c r="P17" s="182">
        <f>IF(Worksheet!$C$4=Worksheet!$D$4,(IF(AND($S$4="Multi",$R$4="FY"),ROUND(((1+$M17)^(Worksheet!$B$20+1)*Worksheet!$E$9+(1+$M17)^(Worksheet!$B$20+2)*Worksheet!$E$10)/12*Request!$E17*Request!H17,0),(IF(AND($S$4="Multi",$R$4="PY"),ROUND($E17*H17*((1+$M17)^2)/12*Worksheet!$E$5,0),(IF(AND($S$4&lt;&gt;"Multi",$R$4="FY"),ROUND(((1+$S$4)^(Worksheet!$B$20+1)*Worksheet!$E$9+(1+$S$4)^(Worksheet!$B$20+2)*Worksheet!$E$10)/12*Request!$E17*Request!H17,0),ROUND($E17*H17*((1+$S$4)^2)/12*Worksheet!$E$5,0))))))),(IF(AND($S$4="Multi",$R$4="FY"),ROUND(((1+$M17)^(Worksheet!$B$20+2)*Worksheet!$E$9+(1+$M17)^(Worksheet!$B$20+3)*Worksheet!$E$10)/12*Request!$E17*Request!H17,0),(IF(AND($S$4="Multi",$R$4="PY"),ROUND($E17*H17*((1+$M17)^2)/12*Worksheet!$E$5,0),(IF(AND($S$4&lt;&gt;"Multi",$R$4="FY"),ROUND(((1+$S$4)^(Worksheet!$B$20+2)*Worksheet!$E$9+(1+$S$4)^(Worksheet!$B$20+3)*Worksheet!$E$10)/12*Request!$E17*Request!H17,0),ROUND($E17*H17*((1+$S$4)^2)/12*Worksheet!$E$5,0))))))))</f>
        <v>0</v>
      </c>
      <c r="Q17" s="182">
        <f>IF(Worksheet!$C$4=Worksheet!$D$4,(IF(AND($S$4="Multi",$R$4="FY"),ROUND(((1+$M17)^(Worksheet!$B$20+2)*Worksheet!$F$9+(1+$M17)^(Worksheet!$B$20+3)*Worksheet!$F$10)/12*Request!$E17*Request!$I17,0),(IF(AND($S$4="Multi",$R$4="PY"),ROUND($E17*$I17*((1+$M17)^3)/12*Worksheet!$F$5,0),(IF(AND($S$4&lt;&gt;"Multi",$R$4="FY"),ROUND(((1+$S$4)^(Worksheet!$B$20+2)*Worksheet!$F$9+(1+$S$4)^(Worksheet!$B$20+3)*Worksheet!$F$10)/12*Request!$E17*Request!$I17,0),ROUND($E17*$I17*((1+$S$4)^3)/12*Worksheet!$F$5,0))))))),(IF(AND($S$4="Multi",$R$4="FY"),ROUND(((1+$M17)^(Worksheet!$B$20+3)*Worksheet!$F$9+(1+$M17)^(Worksheet!$B$20+4)*Worksheet!$F$10)/12*Request!$E17*Request!$I17,0),(IF(AND($S$4="Multi",$R$4="PY"),ROUND($E17*$I17*((1+$M17)^3)/12*Worksheet!$F$5,0),(IF(AND($S$4&lt;&gt;"Multi",$R$4="FY"),ROUND(((1+$S$4)^(Worksheet!$B$20+3)*Worksheet!$F$9+(1+$S$4)^(Worksheet!$B$20+4)*Worksheet!$F$10)/12*Request!$E17*Request!$I17,0),ROUND($E17*$I17*((1+$S$4)^3)/12*Worksheet!$F$5,0))))))))</f>
        <v>0</v>
      </c>
      <c r="R17" s="182">
        <f>IF(Worksheet!$C$4=Worksheet!$D$4,(IF(AND($S$4="Multi",$R$4="FY"),ROUND(((1+$M17)^(Worksheet!$B$20+3)*Worksheet!$G$9+(1+$M17)^(Worksheet!$B$20+4)*Worksheet!$G$10)/12*Request!$E17*Request!$J17,0),(IF(AND($S$4="Multi",$R$4="PY"),ROUND($E17*$J17*((1+$M17)^4)/12*Worksheet!$G$5,0),(IF(AND($S$4&lt;&gt;"Multi",$R$4="FY"),ROUND(((1+$S$4)^(Worksheet!$B$20+3)*Worksheet!$G$9+(1+$S$4)^(Worksheet!$B$20+4)*Worksheet!$G$10)/12*Request!$E17*Request!$J17,0),ROUND($E17*$J17*((1+$S$4)^4)/12*Worksheet!$G$5,0))))))),(IF(AND($S$4="Multi",$R$4="FY"),ROUND(((1+$M17)^(Worksheet!$B$20+4)*Worksheet!$G$9+(1+$M17)^(Worksheet!$B$20+5)*Worksheet!$G$10)/12*Request!$E17*Request!$J17,0),(IF(AND($S$4="Multi",$R$4="PY"),ROUND($E17*$J17*((1+$M17)^4)/12*Worksheet!$G$5,0),(IF(AND($S$4&lt;&gt;"Multi",$R$4="FY"),ROUND(((1+$S$4)^(Worksheet!$B$20+4)*Worksheet!$G$9+(1+$S$4)^(Worksheet!$B$20+5)*Worksheet!$G$10)/12*Request!$E17*Request!$J17,0),ROUND($E17*$J17*((1+$S$4)^4)/12*Worksheet!$G$5,0))))))))</f>
        <v>0</v>
      </c>
      <c r="S17" s="145">
        <f t="shared" si="3"/>
        <v>0</v>
      </c>
      <c r="T17" s="191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</row>
    <row r="18" spans="1:41" ht="12" hidden="1" customHeight="1" x14ac:dyDescent="0.2">
      <c r="A18" s="149">
        <v>11</v>
      </c>
      <c r="B18" s="150"/>
      <c r="C18" s="150"/>
      <c r="D18" s="151"/>
      <c r="E18" s="152"/>
      <c r="F18" s="173"/>
      <c r="G18" s="173"/>
      <c r="H18" s="173"/>
      <c r="I18" s="173"/>
      <c r="J18" s="173"/>
      <c r="K18" s="147" t="s">
        <v>165</v>
      </c>
      <c r="L18" s="147">
        <v>12</v>
      </c>
      <c r="M18" s="148">
        <v>0.03</v>
      </c>
      <c r="N18" s="182">
        <f>IF(AND($S$4="Multi",$R$4="FY"),ROUND(((1+$M18)^Worksheet!$B$20*Worksheet!$C$9+(1+$M18)^(Worksheet!$B$20+1)*Worksheet!$C$10)/12*Request!$E18*Request!$F18,0),(IF(AND($S$4="Multi",$R$4="PY"),ROUND(E18*F18/12*Worksheet!$C$5,0),(IF(AND($S$4&lt;&gt;"Multi",$R$4="FY"),ROUND(((1+$S$4)^Worksheet!$B$20*Worksheet!$C$9+(1+$S$4)^(Worksheet!$B$20+1)*Worksheet!$C$10)/12*Request!$E18*Request!$F18,0),ROUND($E18*$F18/12*Worksheet!$C$5,0))))))</f>
        <v>0</v>
      </c>
      <c r="O18" s="182">
        <f>IF(Worksheet!$C$4=Worksheet!$D$4,(IF(AND($S$4="Multi",$R$4="FY"),ROUND(((1+$M18)^(Worksheet!$B$20)*Worksheet!$D$9+(1+$M18)^(Worksheet!$B$20+1)*Worksheet!$D$10)/12*Request!$E18*Request!$G18,0),(IF(AND($S$4="Multi",$R$4="PY"),ROUND($E18*$G18*(1+M18)/12*Worksheet!$D$5,0),(IF(AND($S$4&lt;&gt;"Multi",$R$4="FY"),ROUND(((1+$S$4)^(Worksheet!$B$20)*Worksheet!$D$9+(1+$S$4)^(Worksheet!$B$20+1)*Worksheet!$D$10)/12*Request!$E18*Request!$G18,0),ROUND($E18*$G18*(1+$S$4)/12*Worksheet!$D$5,0))))))),(IF(AND($S$4="Multi",$R$4="FY"),ROUND(((1+$M18)^(Worksheet!$B$20+1)*Worksheet!$D$9+(1+$M18)^(Worksheet!$B$20+2)*Worksheet!$D$10)/12*Request!$E18*Request!$G18,0),(IF(AND($S$4="Multi",$R$4="PY"),ROUND($E18*$G18*(1+M18)/12*Worksheet!$D$5,0),(IF(AND($S$4&lt;&gt;"Multi",$R$4="FY"),ROUND(((1+$S$4)^(Worksheet!$B$20+1)*Worksheet!$D$9+(1+$S$4)^(Worksheet!$B$20+2)*Worksheet!$D$10)/12*Request!$E18*Request!$G18,0),ROUND($E18*$G18*(1+$S$4)/12*Worksheet!$D$5,0))))))))</f>
        <v>0</v>
      </c>
      <c r="P18" s="182">
        <f>IF(Worksheet!$C$4=Worksheet!$D$4,(IF(AND($S$4="Multi",$R$4="FY"),ROUND(((1+$M18)^(Worksheet!$B$20+1)*Worksheet!$E$9+(1+$M18)^(Worksheet!$B$20+2)*Worksheet!$E$10)/12*Request!$E18*Request!H18,0),(IF(AND($S$4="Multi",$R$4="PY"),ROUND($E18*H18*((1+$M18)^2)/12*Worksheet!$E$5,0),(IF(AND($S$4&lt;&gt;"Multi",$R$4="FY"),ROUND(((1+$S$4)^(Worksheet!$B$20+1)*Worksheet!$E$9+(1+$S$4)^(Worksheet!$B$20+2)*Worksheet!$E$10)/12*Request!$E18*Request!H18,0),ROUND($E18*H18*((1+$S$4)^2)/12*Worksheet!$E$5,0))))))),(IF(AND($S$4="Multi",$R$4="FY"),ROUND(((1+$M18)^(Worksheet!$B$20+2)*Worksheet!$E$9+(1+$M18)^(Worksheet!$B$20+3)*Worksheet!$E$10)/12*Request!$E18*Request!H18,0),(IF(AND($S$4="Multi",$R$4="PY"),ROUND($E18*H18*((1+$M18)^2)/12*Worksheet!$E$5,0),(IF(AND($S$4&lt;&gt;"Multi",$R$4="FY"),ROUND(((1+$S$4)^(Worksheet!$B$20+2)*Worksheet!$E$9+(1+$S$4)^(Worksheet!$B$20+3)*Worksheet!$E$10)/12*Request!$E18*Request!H18,0),ROUND($E18*H18*((1+$S$4)^2)/12*Worksheet!$E$5,0))))))))</f>
        <v>0</v>
      </c>
      <c r="Q18" s="182">
        <f>IF(Worksheet!$C$4=Worksheet!$D$4,(IF(AND($S$4="Multi",$R$4="FY"),ROUND(((1+$M18)^(Worksheet!$B$20+2)*Worksheet!$F$9+(1+$M18)^(Worksheet!$B$20+3)*Worksheet!$F$10)/12*Request!$E18*Request!$I18,0),(IF(AND($S$4="Multi",$R$4="PY"),ROUND($E18*$I18*((1+$M18)^3)/12*Worksheet!$F$5,0),(IF(AND($S$4&lt;&gt;"Multi",$R$4="FY"),ROUND(((1+$S$4)^(Worksheet!$B$20+2)*Worksheet!$F$9+(1+$S$4)^(Worksheet!$B$20+3)*Worksheet!$F$10)/12*Request!$E18*Request!$I18,0),ROUND($E18*$I18*((1+$S$4)^3)/12*Worksheet!$F$5,0))))))),(IF(AND($S$4="Multi",$R$4="FY"),ROUND(((1+$M18)^(Worksheet!$B$20+3)*Worksheet!$F$9+(1+$M18)^(Worksheet!$B$20+4)*Worksheet!$F$10)/12*Request!$E18*Request!$I18,0),(IF(AND($S$4="Multi",$R$4="PY"),ROUND($E18*$I18*((1+$M18)^3)/12*Worksheet!$F$5,0),(IF(AND($S$4&lt;&gt;"Multi",$R$4="FY"),ROUND(((1+$S$4)^(Worksheet!$B$20+3)*Worksheet!$F$9+(1+$S$4)^(Worksheet!$B$20+4)*Worksheet!$F$10)/12*Request!$E18*Request!$I18,0),ROUND($E18*$I18*((1+$S$4)^3)/12*Worksheet!$F$5,0))))))))</f>
        <v>0</v>
      </c>
      <c r="R18" s="182">
        <f>IF(Worksheet!$C$4=Worksheet!$D$4,(IF(AND($S$4="Multi",$R$4="FY"),ROUND(((1+$M18)^(Worksheet!$B$20+3)*Worksheet!$G$9+(1+$M18)^(Worksheet!$B$20+4)*Worksheet!$G$10)/12*Request!$E18*Request!$J18,0),(IF(AND($S$4="Multi",$R$4="PY"),ROUND($E18*$J18*((1+$M18)^4)/12*Worksheet!$G$5,0),(IF(AND($S$4&lt;&gt;"Multi",$R$4="FY"),ROUND(((1+$S$4)^(Worksheet!$B$20+3)*Worksheet!$G$9+(1+$S$4)^(Worksheet!$B$20+4)*Worksheet!$G$10)/12*Request!$E18*Request!$J18,0),ROUND($E18*$J18*((1+$S$4)^4)/12*Worksheet!$G$5,0))))))),(IF(AND($S$4="Multi",$R$4="FY"),ROUND(((1+$M18)^(Worksheet!$B$20+4)*Worksheet!$G$9+(1+$M18)^(Worksheet!$B$20+5)*Worksheet!$G$10)/12*Request!$E18*Request!$J18,0),(IF(AND($S$4="Multi",$R$4="PY"),ROUND($E18*$J18*((1+$M18)^4)/12*Worksheet!$G$5,0),(IF(AND($S$4&lt;&gt;"Multi",$R$4="FY"),ROUND(((1+$S$4)^(Worksheet!$B$20+4)*Worksheet!$G$9+(1+$S$4)^(Worksheet!$B$20+5)*Worksheet!$G$10)/12*Request!$E18*Request!$J18,0),ROUND($E18*$J18*((1+$S$4)^4)/12*Worksheet!$G$5,0))))))))</f>
        <v>0</v>
      </c>
      <c r="S18" s="145">
        <f t="shared" si="3"/>
        <v>0</v>
      </c>
      <c r="T18" s="191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</row>
    <row r="19" spans="1:41" ht="11.45" hidden="1" x14ac:dyDescent="0.2">
      <c r="A19" s="149">
        <v>12</v>
      </c>
      <c r="B19" s="150"/>
      <c r="C19" s="150"/>
      <c r="D19" s="151"/>
      <c r="E19" s="152"/>
      <c r="F19" s="173"/>
      <c r="G19" s="173"/>
      <c r="H19" s="173"/>
      <c r="I19" s="173"/>
      <c r="J19" s="173"/>
      <c r="K19" s="147" t="s">
        <v>165</v>
      </c>
      <c r="L19" s="147">
        <v>12</v>
      </c>
      <c r="M19" s="148">
        <v>0.03</v>
      </c>
      <c r="N19" s="182">
        <f>IF(AND($S$4="Multi",$R$4="FY"),ROUND(((1+$M19)^Worksheet!$B$20*Worksheet!$C$9+(1+$M19)^(Worksheet!$B$20+1)*Worksheet!$C$10)/12*Request!$E19*Request!$F19,0),(IF(AND($S$4="Multi",$R$4="PY"),ROUND(E19*F19/12*Worksheet!$C$5,0),(IF(AND($S$4&lt;&gt;"Multi",$R$4="FY"),ROUND(((1+$S$4)^Worksheet!$B$20*Worksheet!$C$9+(1+$S$4)^(Worksheet!$B$20+1)*Worksheet!$C$10)/12*Request!$E19*Request!$F19,0),ROUND($E19*$F19/12*Worksheet!$C$5,0))))))</f>
        <v>0</v>
      </c>
      <c r="O19" s="182">
        <f>IF(Worksheet!$C$4=Worksheet!$D$4,(IF(AND($S$4="Multi",$R$4="FY"),ROUND(((1+$M19)^(Worksheet!$B$20)*Worksheet!$D$9+(1+$M19)^(Worksheet!$B$20+1)*Worksheet!$D$10)/12*Request!$E19*Request!$G19,0),(IF(AND($S$4="Multi",$R$4="PY"),ROUND($E19*$G19*(1+M19)/12*Worksheet!$D$5,0),(IF(AND($S$4&lt;&gt;"Multi",$R$4="FY"),ROUND(((1+$S$4)^(Worksheet!$B$20)*Worksheet!$D$9+(1+$S$4)^(Worksheet!$B$20+1)*Worksheet!$D$10)/12*Request!$E19*Request!$G19,0),ROUND($E19*$G19*(1+$S$4)/12*Worksheet!$D$5,0))))))),(IF(AND($S$4="Multi",$R$4="FY"),ROUND(((1+$M19)^(Worksheet!$B$20+1)*Worksheet!$D$9+(1+$M19)^(Worksheet!$B$20+2)*Worksheet!$D$10)/12*Request!$E19*Request!$G19,0),(IF(AND($S$4="Multi",$R$4="PY"),ROUND($E19*$G19*(1+M19)/12*Worksheet!$D$5,0),(IF(AND($S$4&lt;&gt;"Multi",$R$4="FY"),ROUND(((1+$S$4)^(Worksheet!$B$20+1)*Worksheet!$D$9+(1+$S$4)^(Worksheet!$B$20+2)*Worksheet!$D$10)/12*Request!$E19*Request!$G19,0),ROUND($E19*$G19*(1+$S$4)/12*Worksheet!$D$5,0))))))))</f>
        <v>0</v>
      </c>
      <c r="P19" s="182">
        <f>IF(Worksheet!$C$4=Worksheet!$D$4,(IF(AND($S$4="Multi",$R$4="FY"),ROUND(((1+$M19)^(Worksheet!$B$20+1)*Worksheet!$E$9+(1+$M19)^(Worksheet!$B$20+2)*Worksheet!$E$10)/12*Request!$E19*Request!H19,0),(IF(AND($S$4="Multi",$R$4="PY"),ROUND($E19*H19*((1+$M19)^2)/12*Worksheet!$E$5,0),(IF(AND($S$4&lt;&gt;"Multi",$R$4="FY"),ROUND(((1+$S$4)^(Worksheet!$B$20+1)*Worksheet!$E$9+(1+$S$4)^(Worksheet!$B$20+2)*Worksheet!$E$10)/12*Request!$E19*Request!H19,0),ROUND($E19*H19*((1+$S$4)^2)/12*Worksheet!$E$5,0))))))),(IF(AND($S$4="Multi",$R$4="FY"),ROUND(((1+$M19)^(Worksheet!$B$20+2)*Worksheet!$E$9+(1+$M19)^(Worksheet!$B$20+3)*Worksheet!$E$10)/12*Request!$E19*Request!H19,0),(IF(AND($S$4="Multi",$R$4="PY"),ROUND($E19*H19*((1+$M19)^2)/12*Worksheet!$E$5,0),(IF(AND($S$4&lt;&gt;"Multi",$R$4="FY"),ROUND(((1+$S$4)^(Worksheet!$B$20+2)*Worksheet!$E$9+(1+$S$4)^(Worksheet!$B$20+3)*Worksheet!$E$10)/12*Request!$E19*Request!H19,0),ROUND($E19*H19*((1+$S$4)^2)/12*Worksheet!$E$5,0))))))))</f>
        <v>0</v>
      </c>
      <c r="Q19" s="182">
        <f>IF(Worksheet!$C$4=Worksheet!$D$4,(IF(AND($S$4="Multi",$R$4="FY"),ROUND(((1+$M19)^(Worksheet!$B$20+2)*Worksheet!$F$9+(1+$M19)^(Worksheet!$B$20+3)*Worksheet!$F$10)/12*Request!$E19*Request!$I19,0),(IF(AND($S$4="Multi",$R$4="PY"),ROUND($E19*$I19*((1+$M19)^3)/12*Worksheet!$F$5,0),(IF(AND($S$4&lt;&gt;"Multi",$R$4="FY"),ROUND(((1+$S$4)^(Worksheet!$B$20+2)*Worksheet!$F$9+(1+$S$4)^(Worksheet!$B$20+3)*Worksheet!$F$10)/12*Request!$E19*Request!$I19,0),ROUND($E19*$I19*((1+$S$4)^3)/12*Worksheet!$F$5,0))))))),(IF(AND($S$4="Multi",$R$4="FY"),ROUND(((1+$M19)^(Worksheet!$B$20+3)*Worksheet!$F$9+(1+$M19)^(Worksheet!$B$20+4)*Worksheet!$F$10)/12*Request!$E19*Request!$I19,0),(IF(AND($S$4="Multi",$R$4="PY"),ROUND($E19*$I19*((1+$M19)^3)/12*Worksheet!$F$5,0),(IF(AND($S$4&lt;&gt;"Multi",$R$4="FY"),ROUND(((1+$S$4)^(Worksheet!$B$20+3)*Worksheet!$F$9+(1+$S$4)^(Worksheet!$B$20+4)*Worksheet!$F$10)/12*Request!$E19*Request!$I19,0),ROUND($E19*$I19*((1+$S$4)^3)/12*Worksheet!$F$5,0))))))))</f>
        <v>0</v>
      </c>
      <c r="R19" s="182">
        <f>IF(Worksheet!$C$4=Worksheet!$D$4,(IF(AND($S$4="Multi",$R$4="FY"),ROUND(((1+$M19)^(Worksheet!$B$20+3)*Worksheet!$G$9+(1+$M19)^(Worksheet!$B$20+4)*Worksheet!$G$10)/12*Request!$E19*Request!$J19,0),(IF(AND($S$4="Multi",$R$4="PY"),ROUND($E19*$J19*((1+$M19)^4)/12*Worksheet!$G$5,0),(IF(AND($S$4&lt;&gt;"Multi",$R$4="FY"),ROUND(((1+$S$4)^(Worksheet!$B$20+3)*Worksheet!$G$9+(1+$S$4)^(Worksheet!$B$20+4)*Worksheet!$G$10)/12*Request!$E19*Request!$J19,0),ROUND($E19*$J19*((1+$S$4)^4)/12*Worksheet!$G$5,0))))))),(IF(AND($S$4="Multi",$R$4="FY"),ROUND(((1+$M19)^(Worksheet!$B$20+4)*Worksheet!$G$9+(1+$M19)^(Worksheet!$B$20+5)*Worksheet!$G$10)/12*Request!$E19*Request!$J19,0),(IF(AND($S$4="Multi",$R$4="PY"),ROUND($E19*$J19*((1+$M19)^4)/12*Worksheet!$G$5,0),(IF(AND($S$4&lt;&gt;"Multi",$R$4="FY"),ROUND(((1+$S$4)^(Worksheet!$B$20+4)*Worksheet!$G$9+(1+$S$4)^(Worksheet!$B$20+5)*Worksheet!$G$10)/12*Request!$E19*Request!$J19,0),ROUND($E19*$J19*((1+$S$4)^4)/12*Worksheet!$G$5,0))))))))</f>
        <v>0</v>
      </c>
      <c r="S19" s="145">
        <f t="shared" si="3"/>
        <v>0</v>
      </c>
      <c r="T19" s="191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</row>
    <row r="20" spans="1:41" ht="11.45" hidden="1" x14ac:dyDescent="0.2">
      <c r="A20" s="149">
        <v>13</v>
      </c>
      <c r="B20" s="150"/>
      <c r="C20" s="150"/>
      <c r="D20" s="151"/>
      <c r="E20" s="152"/>
      <c r="F20" s="173"/>
      <c r="G20" s="173"/>
      <c r="H20" s="173"/>
      <c r="I20" s="173"/>
      <c r="J20" s="173"/>
      <c r="K20" s="147" t="s">
        <v>165</v>
      </c>
      <c r="L20" s="147">
        <v>12</v>
      </c>
      <c r="M20" s="148">
        <v>0.03</v>
      </c>
      <c r="N20" s="182">
        <f>IF(AND($S$4="Multi",$R$4="FY"),ROUND(((1+$M20)^Worksheet!$B$20*Worksheet!$C$9+(1+$M20)^(Worksheet!$B$20+1)*Worksheet!$C$10)/12*Request!$E20*Request!$F20,0),(IF(AND($S$4="Multi",$R$4="PY"),ROUND(E20*F20/12*Worksheet!$C$5,0),(IF(AND($S$4&lt;&gt;"Multi",$R$4="FY"),ROUND(((1+$S$4)^Worksheet!$B$20*Worksheet!$C$9+(1+$S$4)^(Worksheet!$B$20+1)*Worksheet!$C$10)/12*Request!$E20*Request!$F20,0),ROUND($E20*$F20/12*Worksheet!$C$5,0))))))</f>
        <v>0</v>
      </c>
      <c r="O20" s="182">
        <f>IF(Worksheet!$C$4=Worksheet!$D$4,(IF(AND($S$4="Multi",$R$4="FY"),ROUND(((1+$M20)^(Worksheet!$B$20)*Worksheet!$D$9+(1+$M20)^(Worksheet!$B$20+1)*Worksheet!$D$10)/12*Request!$E20*Request!$G20,0),(IF(AND($S$4="Multi",$R$4="PY"),ROUND($E20*$G20*(1+M20)/12*Worksheet!$D$5,0),(IF(AND($S$4&lt;&gt;"Multi",$R$4="FY"),ROUND(((1+$S$4)^(Worksheet!$B$20)*Worksheet!$D$9+(1+$S$4)^(Worksheet!$B$20+1)*Worksheet!$D$10)/12*Request!$E20*Request!$G20,0),ROUND($E20*$G20*(1+$S$4)/12*Worksheet!$D$5,0))))))),(IF(AND($S$4="Multi",$R$4="FY"),ROUND(((1+$M20)^(Worksheet!$B$20+1)*Worksheet!$D$9+(1+$M20)^(Worksheet!$B$20+2)*Worksheet!$D$10)/12*Request!$E20*Request!$G20,0),(IF(AND($S$4="Multi",$R$4="PY"),ROUND($E20*$G20*(1+M20)/12*Worksheet!$D$5,0),(IF(AND($S$4&lt;&gt;"Multi",$R$4="FY"),ROUND(((1+$S$4)^(Worksheet!$B$20+1)*Worksheet!$D$9+(1+$S$4)^(Worksheet!$B$20+2)*Worksheet!$D$10)/12*Request!$E20*Request!$G20,0),ROUND($E20*$G20*(1+$S$4)/12*Worksheet!$D$5,0))))))))</f>
        <v>0</v>
      </c>
      <c r="P20" s="182">
        <f>IF(Worksheet!$C$4=Worksheet!$D$4,(IF(AND($S$4="Multi",$R$4="FY"),ROUND(((1+$M20)^(Worksheet!$B$20+1)*Worksheet!$E$9+(1+$M20)^(Worksheet!$B$20+2)*Worksheet!$E$10)/12*Request!$E20*Request!H20,0),(IF(AND($S$4="Multi",$R$4="PY"),ROUND($E20*H20*((1+$M20)^2)/12*Worksheet!$E$5,0),(IF(AND($S$4&lt;&gt;"Multi",$R$4="FY"),ROUND(((1+$S$4)^(Worksheet!$B$20+1)*Worksheet!$E$9+(1+$S$4)^(Worksheet!$B$20+2)*Worksheet!$E$10)/12*Request!$E20*Request!H20,0),ROUND($E20*H20*((1+$S$4)^2)/12*Worksheet!$E$5,0))))))),(IF(AND($S$4="Multi",$R$4="FY"),ROUND(((1+$M20)^(Worksheet!$B$20+2)*Worksheet!$E$9+(1+$M20)^(Worksheet!$B$20+3)*Worksheet!$E$10)/12*Request!$E20*Request!H20,0),(IF(AND($S$4="Multi",$R$4="PY"),ROUND($E20*H20*((1+$M20)^2)/12*Worksheet!$E$5,0),(IF(AND($S$4&lt;&gt;"Multi",$R$4="FY"),ROUND(((1+$S$4)^(Worksheet!$B$20+2)*Worksheet!$E$9+(1+$S$4)^(Worksheet!$B$20+3)*Worksheet!$E$10)/12*Request!$E20*Request!H20,0),ROUND($E20*H20*((1+$S$4)^2)/12*Worksheet!$E$5,0))))))))</f>
        <v>0</v>
      </c>
      <c r="Q20" s="182">
        <f>IF(Worksheet!$C$4=Worksheet!$D$4,(IF(AND($S$4="Multi",$R$4="FY"),ROUND(((1+$M20)^(Worksheet!$B$20+2)*Worksheet!$F$9+(1+$M20)^(Worksheet!$B$20+3)*Worksheet!$F$10)/12*Request!$E20*Request!$I20,0),(IF(AND($S$4="Multi",$R$4="PY"),ROUND($E20*$I20*((1+$M20)^3)/12*Worksheet!$F$5,0),(IF(AND($S$4&lt;&gt;"Multi",$R$4="FY"),ROUND(((1+$S$4)^(Worksheet!$B$20+2)*Worksheet!$F$9+(1+$S$4)^(Worksheet!$B$20+3)*Worksheet!$F$10)/12*Request!$E20*Request!$I20,0),ROUND($E20*$I20*((1+$S$4)^3)/12*Worksheet!$F$5,0))))))),(IF(AND($S$4="Multi",$R$4="FY"),ROUND(((1+$M20)^(Worksheet!$B$20+3)*Worksheet!$F$9+(1+$M20)^(Worksheet!$B$20+4)*Worksheet!$F$10)/12*Request!$E20*Request!$I20,0),(IF(AND($S$4="Multi",$R$4="PY"),ROUND($E20*$I20*((1+$M20)^3)/12*Worksheet!$F$5,0),(IF(AND($S$4&lt;&gt;"Multi",$R$4="FY"),ROUND(((1+$S$4)^(Worksheet!$B$20+3)*Worksheet!$F$9+(1+$S$4)^(Worksheet!$B$20+4)*Worksheet!$F$10)/12*Request!$E20*Request!$I20,0),ROUND($E20*$I20*((1+$S$4)^3)/12*Worksheet!$F$5,0))))))))</f>
        <v>0</v>
      </c>
      <c r="R20" s="182">
        <f>IF(Worksheet!$C$4=Worksheet!$D$4,(IF(AND($S$4="Multi",$R$4="FY"),ROUND(((1+$M20)^(Worksheet!$B$20+3)*Worksheet!$G$9+(1+$M20)^(Worksheet!$B$20+4)*Worksheet!$G$10)/12*Request!$E20*Request!$J20,0),(IF(AND($S$4="Multi",$R$4="PY"),ROUND($E20*$J20*((1+$M20)^4)/12*Worksheet!$G$5,0),(IF(AND($S$4&lt;&gt;"Multi",$R$4="FY"),ROUND(((1+$S$4)^(Worksheet!$B$20+3)*Worksheet!$G$9+(1+$S$4)^(Worksheet!$B$20+4)*Worksheet!$G$10)/12*Request!$E20*Request!$J20,0),ROUND($E20*$J20*((1+$S$4)^4)/12*Worksheet!$G$5,0))))))),(IF(AND($S$4="Multi",$R$4="FY"),ROUND(((1+$M20)^(Worksheet!$B$20+4)*Worksheet!$G$9+(1+$M20)^(Worksheet!$B$20+5)*Worksheet!$G$10)/12*Request!$E20*Request!$J20,0),(IF(AND($S$4="Multi",$R$4="PY"),ROUND($E20*$J20*((1+$M20)^4)/12*Worksheet!$G$5,0),(IF(AND($S$4&lt;&gt;"Multi",$R$4="FY"),ROUND(((1+$S$4)^(Worksheet!$B$20+4)*Worksheet!$G$9+(1+$S$4)^(Worksheet!$B$20+5)*Worksheet!$G$10)/12*Request!$E20*Request!$J20,0),ROUND($E20*$J20*((1+$S$4)^4)/12*Worksheet!$G$5,0))))))))</f>
        <v>0</v>
      </c>
      <c r="S20" s="145">
        <f t="shared" si="3"/>
        <v>0</v>
      </c>
      <c r="T20" s="191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</row>
    <row r="21" spans="1:41" ht="11.45" hidden="1" x14ac:dyDescent="0.2">
      <c r="A21" s="149">
        <v>14</v>
      </c>
      <c r="B21" s="150"/>
      <c r="C21" s="150"/>
      <c r="D21" s="151"/>
      <c r="E21" s="152"/>
      <c r="F21" s="173"/>
      <c r="G21" s="173"/>
      <c r="H21" s="173"/>
      <c r="I21" s="173"/>
      <c r="J21" s="173"/>
      <c r="K21" s="147" t="s">
        <v>165</v>
      </c>
      <c r="L21" s="147">
        <v>12</v>
      </c>
      <c r="M21" s="148">
        <v>0.03</v>
      </c>
      <c r="N21" s="182">
        <f>IF(AND($S$4="Multi",$R$4="FY"),ROUND(((1+$M21)^Worksheet!$B$20*Worksheet!$C$9+(1+$M21)^(Worksheet!$B$20+1)*Worksheet!$C$10)/12*Request!$E21*Request!$F21,0),(IF(AND($S$4="Multi",$R$4="PY"),ROUND(E21*F21/12*Worksheet!$C$5,0),(IF(AND($S$4&lt;&gt;"Multi",$R$4="FY"),ROUND(((1+$S$4)^Worksheet!$B$20*Worksheet!$C$9+(1+$S$4)^(Worksheet!$B$20+1)*Worksheet!$C$10)/12*Request!$E21*Request!$F21,0),ROUND($E21*$F21/12*Worksheet!$C$5,0))))))</f>
        <v>0</v>
      </c>
      <c r="O21" s="182">
        <f>IF(Worksheet!$C$4=Worksheet!$D$4,(IF(AND($S$4="Multi",$R$4="FY"),ROUND(((1+$M21)^(Worksheet!$B$20)*Worksheet!$D$9+(1+$M21)^(Worksheet!$B$20+1)*Worksheet!$D$10)/12*Request!$E21*Request!$G21,0),(IF(AND($S$4="Multi",$R$4="PY"),ROUND($E21*$G21*(1+M21)/12*Worksheet!$D$5,0),(IF(AND($S$4&lt;&gt;"Multi",$R$4="FY"),ROUND(((1+$S$4)^(Worksheet!$B$20)*Worksheet!$D$9+(1+$S$4)^(Worksheet!$B$20+1)*Worksheet!$D$10)/12*Request!$E21*Request!$G21,0),ROUND($E21*$G21*(1+$S$4)/12*Worksheet!$D$5,0))))))),(IF(AND($S$4="Multi",$R$4="FY"),ROUND(((1+$M21)^(Worksheet!$B$20+1)*Worksheet!$D$9+(1+$M21)^(Worksheet!$B$20+2)*Worksheet!$D$10)/12*Request!$E21*Request!$G21,0),(IF(AND($S$4="Multi",$R$4="PY"),ROUND($E21*$G21*(1+M21)/12*Worksheet!$D$5,0),(IF(AND($S$4&lt;&gt;"Multi",$R$4="FY"),ROUND(((1+$S$4)^(Worksheet!$B$20+1)*Worksheet!$D$9+(1+$S$4)^(Worksheet!$B$20+2)*Worksheet!$D$10)/12*Request!$E21*Request!$G21,0),ROUND($E21*$G21*(1+$S$4)/12*Worksheet!$D$5,0))))))))</f>
        <v>0</v>
      </c>
      <c r="P21" s="182">
        <f>IF(Worksheet!$C$4=Worksheet!$D$4,(IF(AND($S$4="Multi",$R$4="FY"),ROUND(((1+$M21)^(Worksheet!$B$20+1)*Worksheet!$E$9+(1+$M21)^(Worksheet!$B$20+2)*Worksheet!$E$10)/12*Request!$E21*Request!H21,0),(IF(AND($S$4="Multi",$R$4="PY"),ROUND($E21*H21*((1+$M21)^2)/12*Worksheet!$E$5,0),(IF(AND($S$4&lt;&gt;"Multi",$R$4="FY"),ROUND(((1+$S$4)^(Worksheet!$B$20+1)*Worksheet!$E$9+(1+$S$4)^(Worksheet!$B$20+2)*Worksheet!$E$10)/12*Request!$E21*Request!H21,0),ROUND($E21*H21*((1+$S$4)^2)/12*Worksheet!$E$5,0))))))),(IF(AND($S$4="Multi",$R$4="FY"),ROUND(((1+$M21)^(Worksheet!$B$20+2)*Worksheet!$E$9+(1+$M21)^(Worksheet!$B$20+3)*Worksheet!$E$10)/12*Request!$E21*Request!H21,0),(IF(AND($S$4="Multi",$R$4="PY"),ROUND($E21*H21*((1+$M21)^2)/12*Worksheet!$E$5,0),(IF(AND($S$4&lt;&gt;"Multi",$R$4="FY"),ROUND(((1+$S$4)^(Worksheet!$B$20+2)*Worksheet!$E$9+(1+$S$4)^(Worksheet!$B$20+3)*Worksheet!$E$10)/12*Request!$E21*Request!H21,0),ROUND($E21*H21*((1+$S$4)^2)/12*Worksheet!$E$5,0))))))))</f>
        <v>0</v>
      </c>
      <c r="Q21" s="182">
        <f>IF(Worksheet!$C$4=Worksheet!$D$4,(IF(AND($S$4="Multi",$R$4="FY"),ROUND(((1+$M21)^(Worksheet!$B$20+2)*Worksheet!$F$9+(1+$M21)^(Worksheet!$B$20+3)*Worksheet!$F$10)/12*Request!$E21*Request!$I21,0),(IF(AND($S$4="Multi",$R$4="PY"),ROUND($E21*$I21*((1+$M21)^3)/12*Worksheet!$F$5,0),(IF(AND($S$4&lt;&gt;"Multi",$R$4="FY"),ROUND(((1+$S$4)^(Worksheet!$B$20+2)*Worksheet!$F$9+(1+$S$4)^(Worksheet!$B$20+3)*Worksheet!$F$10)/12*Request!$E21*Request!$I21,0),ROUND($E21*$I21*((1+$S$4)^3)/12*Worksheet!$F$5,0))))))),(IF(AND($S$4="Multi",$R$4="FY"),ROUND(((1+$M21)^(Worksheet!$B$20+3)*Worksheet!$F$9+(1+$M21)^(Worksheet!$B$20+4)*Worksheet!$F$10)/12*Request!$E21*Request!$I21,0),(IF(AND($S$4="Multi",$R$4="PY"),ROUND($E21*$I21*((1+$M21)^3)/12*Worksheet!$F$5,0),(IF(AND($S$4&lt;&gt;"Multi",$R$4="FY"),ROUND(((1+$S$4)^(Worksheet!$B$20+3)*Worksheet!$F$9+(1+$S$4)^(Worksheet!$B$20+4)*Worksheet!$F$10)/12*Request!$E21*Request!$I21,0),ROUND($E21*$I21*((1+$S$4)^3)/12*Worksheet!$F$5,0))))))))</f>
        <v>0</v>
      </c>
      <c r="R21" s="182">
        <f>IF(Worksheet!$C$4=Worksheet!$D$4,(IF(AND($S$4="Multi",$R$4="FY"),ROUND(((1+$M21)^(Worksheet!$B$20+3)*Worksheet!$G$9+(1+$M21)^(Worksheet!$B$20+4)*Worksheet!$G$10)/12*Request!$E21*Request!$J21,0),(IF(AND($S$4="Multi",$R$4="PY"),ROUND($E21*$J21*((1+$M21)^4)/12*Worksheet!$G$5,0),(IF(AND($S$4&lt;&gt;"Multi",$R$4="FY"),ROUND(((1+$S$4)^(Worksheet!$B$20+3)*Worksheet!$G$9+(1+$S$4)^(Worksheet!$B$20+4)*Worksheet!$G$10)/12*Request!$E21*Request!$J21,0),ROUND($E21*$J21*((1+$S$4)^4)/12*Worksheet!$G$5,0))))))),(IF(AND($S$4="Multi",$R$4="FY"),ROUND(((1+$M21)^(Worksheet!$B$20+4)*Worksheet!$G$9+(1+$M21)^(Worksheet!$B$20+5)*Worksheet!$G$10)/12*Request!$E21*Request!$J21,0),(IF(AND($S$4="Multi",$R$4="PY"),ROUND($E21*$J21*((1+$M21)^4)/12*Worksheet!$G$5,0),(IF(AND($S$4&lt;&gt;"Multi",$R$4="FY"),ROUND(((1+$S$4)^(Worksheet!$B$20+4)*Worksheet!$G$9+(1+$S$4)^(Worksheet!$B$20+5)*Worksheet!$G$10)/12*Request!$E21*Request!$J21,0),ROUND($E21*$J21*((1+$S$4)^4)/12*Worksheet!$G$5,0))))))))</f>
        <v>0</v>
      </c>
      <c r="S21" s="145">
        <f t="shared" si="3"/>
        <v>0</v>
      </c>
      <c r="T21" s="191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</row>
    <row r="22" spans="1:41" ht="11.45" hidden="1" x14ac:dyDescent="0.2">
      <c r="A22" s="149">
        <v>15</v>
      </c>
      <c r="B22" s="150"/>
      <c r="C22" s="150"/>
      <c r="D22" s="151"/>
      <c r="E22" s="152"/>
      <c r="F22" s="173"/>
      <c r="G22" s="173"/>
      <c r="H22" s="173"/>
      <c r="I22" s="173"/>
      <c r="J22" s="173"/>
      <c r="K22" s="147" t="s">
        <v>165</v>
      </c>
      <c r="L22" s="147">
        <v>12</v>
      </c>
      <c r="M22" s="148">
        <v>0.03</v>
      </c>
      <c r="N22" s="182">
        <f>IF(AND($S$4="Multi",$R$4="FY"),ROUND(((1+$M22)^Worksheet!$B$20*Worksheet!$C$9+(1+$M22)^(Worksheet!$B$20+1)*Worksheet!$C$10)/12*Request!$E22*Request!$F22,0),(IF(AND($S$4="Multi",$R$4="PY"),ROUND(E22*F22/12*Worksheet!$C$5,0),(IF(AND($S$4&lt;&gt;"Multi",$R$4="FY"),ROUND(((1+$S$4)^Worksheet!$B$20*Worksheet!$C$9+(1+$S$4)^(Worksheet!$B$20+1)*Worksheet!$C$10)/12*Request!$E22*Request!$F22,0),ROUND($E22*$F22/12*Worksheet!$C$5,0))))))</f>
        <v>0</v>
      </c>
      <c r="O22" s="182">
        <f>IF(Worksheet!$C$4=Worksheet!$D$4,(IF(AND($S$4="Multi",$R$4="FY"),ROUND(((1+$M22)^(Worksheet!$B$20)*Worksheet!$D$9+(1+$M22)^(Worksheet!$B$20+1)*Worksheet!$D$10)/12*Request!$E22*Request!$G22,0),(IF(AND($S$4="Multi",$R$4="PY"),ROUND($E22*$G22*(1+M22)/12*Worksheet!$D$5,0),(IF(AND($S$4&lt;&gt;"Multi",$R$4="FY"),ROUND(((1+$S$4)^(Worksheet!$B$20)*Worksheet!$D$9+(1+$S$4)^(Worksheet!$B$20+1)*Worksheet!$D$10)/12*Request!$E22*Request!$G22,0),ROUND($E22*$G22*(1+$S$4)/12*Worksheet!$D$5,0))))))),(IF(AND($S$4="Multi",$R$4="FY"),ROUND(((1+$M22)^(Worksheet!$B$20+1)*Worksheet!$D$9+(1+$M22)^(Worksheet!$B$20+2)*Worksheet!$D$10)/12*Request!$E22*Request!$G22,0),(IF(AND($S$4="Multi",$R$4="PY"),ROUND($E22*$G22*(1+M22)/12*Worksheet!$D$5,0),(IF(AND($S$4&lt;&gt;"Multi",$R$4="FY"),ROUND(((1+$S$4)^(Worksheet!$B$20+1)*Worksheet!$D$9+(1+$S$4)^(Worksheet!$B$20+2)*Worksheet!$D$10)/12*Request!$E22*Request!$G22,0),ROUND($E22*$G22*(1+$S$4)/12*Worksheet!$D$5,0))))))))</f>
        <v>0</v>
      </c>
      <c r="P22" s="182">
        <f>IF(Worksheet!$C$4=Worksheet!$D$4,(IF(AND($S$4="Multi",$R$4="FY"),ROUND(((1+$M22)^(Worksheet!$B$20+1)*Worksheet!$E$9+(1+$M22)^(Worksheet!$B$20+2)*Worksheet!$E$10)/12*Request!$E22*Request!H22,0),(IF(AND($S$4="Multi",$R$4="PY"),ROUND($E22*H22*((1+$M22)^2)/12*Worksheet!$E$5,0),(IF(AND($S$4&lt;&gt;"Multi",$R$4="FY"),ROUND(((1+$S$4)^(Worksheet!$B$20+1)*Worksheet!$E$9+(1+$S$4)^(Worksheet!$B$20+2)*Worksheet!$E$10)/12*Request!$E22*Request!H22,0),ROUND($E22*H22*((1+$S$4)^2)/12*Worksheet!$E$5,0))))))),(IF(AND($S$4="Multi",$R$4="FY"),ROUND(((1+$M22)^(Worksheet!$B$20+2)*Worksheet!$E$9+(1+$M22)^(Worksheet!$B$20+3)*Worksheet!$E$10)/12*Request!$E22*Request!H22,0),(IF(AND($S$4="Multi",$R$4="PY"),ROUND($E22*H22*((1+$M22)^2)/12*Worksheet!$E$5,0),(IF(AND($S$4&lt;&gt;"Multi",$R$4="FY"),ROUND(((1+$S$4)^(Worksheet!$B$20+2)*Worksheet!$E$9+(1+$S$4)^(Worksheet!$B$20+3)*Worksheet!$E$10)/12*Request!$E22*Request!H22,0),ROUND($E22*H22*((1+$S$4)^2)/12*Worksheet!$E$5,0))))))))</f>
        <v>0</v>
      </c>
      <c r="Q22" s="182">
        <f>IF(Worksheet!$C$4=Worksheet!$D$4,(IF(AND($S$4="Multi",$R$4="FY"),ROUND(((1+$M22)^(Worksheet!$B$20+2)*Worksheet!$F$9+(1+$M22)^(Worksheet!$B$20+3)*Worksheet!$F$10)/12*Request!$E22*Request!$I22,0),(IF(AND($S$4="Multi",$R$4="PY"),ROUND($E22*$I22*((1+$M22)^3)/12*Worksheet!$F$5,0),(IF(AND($S$4&lt;&gt;"Multi",$R$4="FY"),ROUND(((1+$S$4)^(Worksheet!$B$20+2)*Worksheet!$F$9+(1+$S$4)^(Worksheet!$B$20+3)*Worksheet!$F$10)/12*Request!$E22*Request!$I22,0),ROUND($E22*$I22*((1+$S$4)^3)/12*Worksheet!$F$5,0))))))),(IF(AND($S$4="Multi",$R$4="FY"),ROUND(((1+$M22)^(Worksheet!$B$20+3)*Worksheet!$F$9+(1+$M22)^(Worksheet!$B$20+4)*Worksheet!$F$10)/12*Request!$E22*Request!$I22,0),(IF(AND($S$4="Multi",$R$4="PY"),ROUND($E22*$I22*((1+$M22)^3)/12*Worksheet!$F$5,0),(IF(AND($S$4&lt;&gt;"Multi",$R$4="FY"),ROUND(((1+$S$4)^(Worksheet!$B$20+3)*Worksheet!$F$9+(1+$S$4)^(Worksheet!$B$20+4)*Worksheet!$F$10)/12*Request!$E22*Request!$I22,0),ROUND($E22*$I22*((1+$S$4)^3)/12*Worksheet!$F$5,0))))))))</f>
        <v>0</v>
      </c>
      <c r="R22" s="182">
        <f>IF(Worksheet!$C$4=Worksheet!$D$4,(IF(AND($S$4="Multi",$R$4="FY"),ROUND(((1+$M22)^(Worksheet!$B$20+3)*Worksheet!$G$9+(1+$M22)^(Worksheet!$B$20+4)*Worksheet!$G$10)/12*Request!$E22*Request!$J22,0),(IF(AND($S$4="Multi",$R$4="PY"),ROUND($E22*$J22*((1+$M22)^4)/12*Worksheet!$G$5,0),(IF(AND($S$4&lt;&gt;"Multi",$R$4="FY"),ROUND(((1+$S$4)^(Worksheet!$B$20+3)*Worksheet!$G$9+(1+$S$4)^(Worksheet!$B$20+4)*Worksheet!$G$10)/12*Request!$E22*Request!$J22,0),ROUND($E22*$J22*((1+$S$4)^4)/12*Worksheet!$G$5,0))))))),(IF(AND($S$4="Multi",$R$4="FY"),ROUND(((1+$M22)^(Worksheet!$B$20+4)*Worksheet!$G$9+(1+$M22)^(Worksheet!$B$20+5)*Worksheet!$G$10)/12*Request!$E22*Request!$J22,0),(IF(AND($S$4="Multi",$R$4="PY"),ROUND($E22*$J22*((1+$M22)^4)/12*Worksheet!$G$5,0),(IF(AND($S$4&lt;&gt;"Multi",$R$4="FY"),ROUND(((1+$S$4)^(Worksheet!$B$20+4)*Worksheet!$G$9+(1+$S$4)^(Worksheet!$B$20+5)*Worksheet!$G$10)/12*Request!$E22*Request!$J22,0),ROUND($E22*$J22*((1+$S$4)^4)/12*Worksheet!$G$5,0))))))))</f>
        <v>0</v>
      </c>
      <c r="S22" s="145">
        <f t="shared" si="3"/>
        <v>0</v>
      </c>
      <c r="T22" s="191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</row>
    <row r="23" spans="1:41" ht="11.45" hidden="1" x14ac:dyDescent="0.2">
      <c r="A23" s="149">
        <v>16</v>
      </c>
      <c r="B23" s="150"/>
      <c r="C23" s="150"/>
      <c r="D23" s="151"/>
      <c r="E23" s="152"/>
      <c r="F23" s="173"/>
      <c r="G23" s="173"/>
      <c r="H23" s="173"/>
      <c r="I23" s="173"/>
      <c r="J23" s="173"/>
      <c r="K23" s="147" t="s">
        <v>165</v>
      </c>
      <c r="L23" s="147">
        <v>12</v>
      </c>
      <c r="M23" s="148">
        <v>0.03</v>
      </c>
      <c r="N23" s="182">
        <f>IF(AND($S$4="Multi",$R$4="FY"),ROUND(((1+$M23)^Worksheet!$B$20*Worksheet!$C$9+(1+$M23)^(Worksheet!$B$20+1)*Worksheet!$C$10)/12*Request!$E23*Request!$F23,0),(IF(AND($S$4="Multi",$R$4="PY"),ROUND(E23*F23/12*Worksheet!$C$5,0),(IF(AND($S$4&lt;&gt;"Multi",$R$4="FY"),ROUND(((1+$S$4)^Worksheet!$B$20*Worksheet!$C$9+(1+$S$4)^(Worksheet!$B$20+1)*Worksheet!$C$10)/12*Request!$E23*Request!$F23,0),ROUND($E23*$F23/12*Worksheet!$C$5,0))))))</f>
        <v>0</v>
      </c>
      <c r="O23" s="182">
        <f>IF(Worksheet!$C$4=Worksheet!$D$4,(IF(AND($S$4="Multi",$R$4="FY"),ROUND(((1+$M23)^(Worksheet!$B$20)*Worksheet!$D$9+(1+$M23)^(Worksheet!$B$20+1)*Worksheet!$D$10)/12*Request!$E23*Request!$G23,0),(IF(AND($S$4="Multi",$R$4="PY"),ROUND($E23*$G23*(1+M23)/12*Worksheet!$D$5,0),(IF(AND($S$4&lt;&gt;"Multi",$R$4="FY"),ROUND(((1+$S$4)^(Worksheet!$B$20)*Worksheet!$D$9+(1+$S$4)^(Worksheet!$B$20+1)*Worksheet!$D$10)/12*Request!$E23*Request!$G23,0),ROUND($E23*$G23*(1+$S$4)/12*Worksheet!$D$5,0))))))),(IF(AND($S$4="Multi",$R$4="FY"),ROUND(((1+$M23)^(Worksheet!$B$20+1)*Worksheet!$D$9+(1+$M23)^(Worksheet!$B$20+2)*Worksheet!$D$10)/12*Request!$E23*Request!$G23,0),(IF(AND($S$4="Multi",$R$4="PY"),ROUND($E23*$G23*(1+M23)/12*Worksheet!$D$5,0),(IF(AND($S$4&lt;&gt;"Multi",$R$4="FY"),ROUND(((1+$S$4)^(Worksheet!$B$20+1)*Worksheet!$D$9+(1+$S$4)^(Worksheet!$B$20+2)*Worksheet!$D$10)/12*Request!$E23*Request!$G23,0),ROUND($E23*$G23*(1+$S$4)/12*Worksheet!$D$5,0))))))))</f>
        <v>0</v>
      </c>
      <c r="P23" s="182">
        <f>IF(Worksheet!$C$4=Worksheet!$D$4,(IF(AND($S$4="Multi",$R$4="FY"),ROUND(((1+$M23)^(Worksheet!$B$20+1)*Worksheet!$E$9+(1+$M23)^(Worksheet!$B$20+2)*Worksheet!$E$10)/12*Request!$E23*Request!H23,0),(IF(AND($S$4="Multi",$R$4="PY"),ROUND($E23*H23*((1+$M23)^2)/12*Worksheet!$E$5,0),(IF(AND($S$4&lt;&gt;"Multi",$R$4="FY"),ROUND(((1+$S$4)^(Worksheet!$B$20+1)*Worksheet!$E$9+(1+$S$4)^(Worksheet!$B$20+2)*Worksheet!$E$10)/12*Request!$E23*Request!H23,0),ROUND($E23*H23*((1+$S$4)^2)/12*Worksheet!$E$5,0))))))),(IF(AND($S$4="Multi",$R$4="FY"),ROUND(((1+$M23)^(Worksheet!$B$20+2)*Worksheet!$E$9+(1+$M23)^(Worksheet!$B$20+3)*Worksheet!$E$10)/12*Request!$E23*Request!H23,0),(IF(AND($S$4="Multi",$R$4="PY"),ROUND($E23*H23*((1+$M23)^2)/12*Worksheet!$E$5,0),(IF(AND($S$4&lt;&gt;"Multi",$R$4="FY"),ROUND(((1+$S$4)^(Worksheet!$B$20+2)*Worksheet!$E$9+(1+$S$4)^(Worksheet!$B$20+3)*Worksheet!$E$10)/12*Request!$E23*Request!H23,0),ROUND($E23*H23*((1+$S$4)^2)/12*Worksheet!$E$5,0))))))))</f>
        <v>0</v>
      </c>
      <c r="Q23" s="182">
        <f>IF(Worksheet!$C$4=Worksheet!$D$4,(IF(AND($S$4="Multi",$R$4="FY"),ROUND(((1+$M23)^(Worksheet!$B$20+2)*Worksheet!$F$9+(1+$M23)^(Worksheet!$B$20+3)*Worksheet!$F$10)/12*Request!$E23*Request!$I23,0),(IF(AND($S$4="Multi",$R$4="PY"),ROUND($E23*$I23*((1+$M23)^3)/12*Worksheet!$F$5,0),(IF(AND($S$4&lt;&gt;"Multi",$R$4="FY"),ROUND(((1+$S$4)^(Worksheet!$B$20+2)*Worksheet!$F$9+(1+$S$4)^(Worksheet!$B$20+3)*Worksheet!$F$10)/12*Request!$E23*Request!$I23,0),ROUND($E23*$I23*((1+$S$4)^3)/12*Worksheet!$F$5,0))))))),(IF(AND($S$4="Multi",$R$4="FY"),ROUND(((1+$M23)^(Worksheet!$B$20+3)*Worksheet!$F$9+(1+$M23)^(Worksheet!$B$20+4)*Worksheet!$F$10)/12*Request!$E23*Request!$I23,0),(IF(AND($S$4="Multi",$R$4="PY"),ROUND($E23*$I23*((1+$M23)^3)/12*Worksheet!$F$5,0),(IF(AND($S$4&lt;&gt;"Multi",$R$4="FY"),ROUND(((1+$S$4)^(Worksheet!$B$20+3)*Worksheet!$F$9+(1+$S$4)^(Worksheet!$B$20+4)*Worksheet!$F$10)/12*Request!$E23*Request!$I23,0),ROUND($E23*$I23*((1+$S$4)^3)/12*Worksheet!$F$5,0))))))))</f>
        <v>0</v>
      </c>
      <c r="R23" s="182">
        <f>IF(Worksheet!$C$4=Worksheet!$D$4,(IF(AND($S$4="Multi",$R$4="FY"),ROUND(((1+$M23)^(Worksheet!$B$20+3)*Worksheet!$G$9+(1+$M23)^(Worksheet!$B$20+4)*Worksheet!$G$10)/12*Request!$E23*Request!$J23,0),(IF(AND($S$4="Multi",$R$4="PY"),ROUND($E23*$J23*((1+$M23)^4)/12*Worksheet!$G$5,0),(IF(AND($S$4&lt;&gt;"Multi",$R$4="FY"),ROUND(((1+$S$4)^(Worksheet!$B$20+3)*Worksheet!$G$9+(1+$S$4)^(Worksheet!$B$20+4)*Worksheet!$G$10)/12*Request!$E23*Request!$J23,0),ROUND($E23*$J23*((1+$S$4)^4)/12*Worksheet!$G$5,0))))))),(IF(AND($S$4="Multi",$R$4="FY"),ROUND(((1+$M23)^(Worksheet!$B$20+4)*Worksheet!$G$9+(1+$M23)^(Worksheet!$B$20+5)*Worksheet!$G$10)/12*Request!$E23*Request!$J23,0),(IF(AND($S$4="Multi",$R$4="PY"),ROUND($E23*$J23*((1+$M23)^4)/12*Worksheet!$G$5,0),(IF(AND($S$4&lt;&gt;"Multi",$R$4="FY"),ROUND(((1+$S$4)^(Worksheet!$B$20+4)*Worksheet!$G$9+(1+$S$4)^(Worksheet!$B$20+5)*Worksheet!$G$10)/12*Request!$E23*Request!$J23,0),ROUND($E23*$J23*((1+$S$4)^4)/12*Worksheet!$G$5,0))))))))</f>
        <v>0</v>
      </c>
      <c r="S23" s="145">
        <f t="shared" si="3"/>
        <v>0</v>
      </c>
      <c r="T23" s="191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</row>
    <row r="24" spans="1:41" ht="11.45" hidden="1" x14ac:dyDescent="0.2">
      <c r="A24" s="149">
        <v>17</v>
      </c>
      <c r="B24" s="150"/>
      <c r="C24" s="150"/>
      <c r="D24" s="151"/>
      <c r="E24" s="152"/>
      <c r="F24" s="173"/>
      <c r="G24" s="173"/>
      <c r="H24" s="173"/>
      <c r="I24" s="173"/>
      <c r="J24" s="173"/>
      <c r="K24" s="147" t="s">
        <v>165</v>
      </c>
      <c r="L24" s="147">
        <v>12</v>
      </c>
      <c r="M24" s="148">
        <v>0.03</v>
      </c>
      <c r="N24" s="182">
        <f>IF(AND($S$4="Multi",$R$4="FY"),ROUND(((1+$M24)^Worksheet!$B$20*Worksheet!$C$9+(1+$M24)^(Worksheet!$B$20+1)*Worksheet!$C$10)/12*Request!$E24*Request!$F24,0),(IF(AND($S$4="Multi",$R$4="PY"),ROUND(E24*F24/12*Worksheet!$C$5,0),(IF(AND($S$4&lt;&gt;"Multi",$R$4="FY"),ROUND(((1+$S$4)^Worksheet!$B$20*Worksheet!$C$9+(1+$S$4)^(Worksheet!$B$20+1)*Worksheet!$C$10)/12*Request!$E24*Request!$F24,0),ROUND($E24*$F24/12*Worksheet!$C$5,0))))))</f>
        <v>0</v>
      </c>
      <c r="O24" s="182">
        <f>IF(Worksheet!$C$4=Worksheet!$D$4,(IF(AND($S$4="Multi",$R$4="FY"),ROUND(((1+$M24)^(Worksheet!$B$20)*Worksheet!$D$9+(1+$M24)^(Worksheet!$B$20+1)*Worksheet!$D$10)/12*Request!$E24*Request!$G24,0),(IF(AND($S$4="Multi",$R$4="PY"),ROUND($E24*$G24*(1+M24)/12*Worksheet!$D$5,0),(IF(AND($S$4&lt;&gt;"Multi",$R$4="FY"),ROUND(((1+$S$4)^(Worksheet!$B$20)*Worksheet!$D$9+(1+$S$4)^(Worksheet!$B$20+1)*Worksheet!$D$10)/12*Request!$E24*Request!$G24,0),ROUND($E24*$G24*(1+$S$4)/12*Worksheet!$D$5,0))))))),(IF(AND($S$4="Multi",$R$4="FY"),ROUND(((1+$M24)^(Worksheet!$B$20+1)*Worksheet!$D$9+(1+$M24)^(Worksheet!$B$20+2)*Worksheet!$D$10)/12*Request!$E24*Request!$G24,0),(IF(AND($S$4="Multi",$R$4="PY"),ROUND($E24*$G24*(1+M24)/12*Worksheet!$D$5,0),(IF(AND($S$4&lt;&gt;"Multi",$R$4="FY"),ROUND(((1+$S$4)^(Worksheet!$B$20+1)*Worksheet!$D$9+(1+$S$4)^(Worksheet!$B$20+2)*Worksheet!$D$10)/12*Request!$E24*Request!$G24,0),ROUND($E24*$G24*(1+$S$4)/12*Worksheet!$D$5,0))))))))</f>
        <v>0</v>
      </c>
      <c r="P24" s="182">
        <f>IF(Worksheet!$C$4=Worksheet!$D$4,(IF(AND($S$4="Multi",$R$4="FY"),ROUND(((1+$M24)^(Worksheet!$B$20+1)*Worksheet!$E$9+(1+$M24)^(Worksheet!$B$20+2)*Worksheet!$E$10)/12*Request!$E24*Request!H24,0),(IF(AND($S$4="Multi",$R$4="PY"),ROUND($E24*H24*((1+$M24)^2)/12*Worksheet!$E$5,0),(IF(AND($S$4&lt;&gt;"Multi",$R$4="FY"),ROUND(((1+$S$4)^(Worksheet!$B$20+1)*Worksheet!$E$9+(1+$S$4)^(Worksheet!$B$20+2)*Worksheet!$E$10)/12*Request!$E24*Request!H24,0),ROUND($E24*H24*((1+$S$4)^2)/12*Worksheet!$E$5,0))))))),(IF(AND($S$4="Multi",$R$4="FY"),ROUND(((1+$M24)^(Worksheet!$B$20+2)*Worksheet!$E$9+(1+$M24)^(Worksheet!$B$20+3)*Worksheet!$E$10)/12*Request!$E24*Request!H24,0),(IF(AND($S$4="Multi",$R$4="PY"),ROUND($E24*H24*((1+$M24)^2)/12*Worksheet!$E$5,0),(IF(AND($S$4&lt;&gt;"Multi",$R$4="FY"),ROUND(((1+$S$4)^(Worksheet!$B$20+2)*Worksheet!$E$9+(1+$S$4)^(Worksheet!$B$20+3)*Worksheet!$E$10)/12*Request!$E24*Request!H24,0),ROUND($E24*H24*((1+$S$4)^2)/12*Worksheet!$E$5,0))))))))</f>
        <v>0</v>
      </c>
      <c r="Q24" s="182">
        <f>IF(Worksheet!$C$4=Worksheet!$D$4,(IF(AND($S$4="Multi",$R$4="FY"),ROUND(((1+$M24)^(Worksheet!$B$20+2)*Worksheet!$F$9+(1+$M24)^(Worksheet!$B$20+3)*Worksheet!$F$10)/12*Request!$E24*Request!$I24,0),(IF(AND($S$4="Multi",$R$4="PY"),ROUND($E24*$I24*((1+$M24)^3)/12*Worksheet!$F$5,0),(IF(AND($S$4&lt;&gt;"Multi",$R$4="FY"),ROUND(((1+$S$4)^(Worksheet!$B$20+2)*Worksheet!$F$9+(1+$S$4)^(Worksheet!$B$20+3)*Worksheet!$F$10)/12*Request!$E24*Request!$I24,0),ROUND($E24*$I24*((1+$S$4)^3)/12*Worksheet!$F$5,0))))))),(IF(AND($S$4="Multi",$R$4="FY"),ROUND(((1+$M24)^(Worksheet!$B$20+3)*Worksheet!$F$9+(1+$M24)^(Worksheet!$B$20+4)*Worksheet!$F$10)/12*Request!$E24*Request!$I24,0),(IF(AND($S$4="Multi",$R$4="PY"),ROUND($E24*$I24*((1+$M24)^3)/12*Worksheet!$F$5,0),(IF(AND($S$4&lt;&gt;"Multi",$R$4="FY"),ROUND(((1+$S$4)^(Worksheet!$B$20+3)*Worksheet!$F$9+(1+$S$4)^(Worksheet!$B$20+4)*Worksheet!$F$10)/12*Request!$E24*Request!$I24,0),ROUND($E24*$I24*((1+$S$4)^3)/12*Worksheet!$F$5,0))))))))</f>
        <v>0</v>
      </c>
      <c r="R24" s="182">
        <f>IF(Worksheet!$C$4=Worksheet!$D$4,(IF(AND($S$4="Multi",$R$4="FY"),ROUND(((1+$M24)^(Worksheet!$B$20+3)*Worksheet!$G$9+(1+$M24)^(Worksheet!$B$20+4)*Worksheet!$G$10)/12*Request!$E24*Request!$J24,0),(IF(AND($S$4="Multi",$R$4="PY"),ROUND($E24*$J24*((1+$M24)^4)/12*Worksheet!$G$5,0),(IF(AND($S$4&lt;&gt;"Multi",$R$4="FY"),ROUND(((1+$S$4)^(Worksheet!$B$20+3)*Worksheet!$G$9+(1+$S$4)^(Worksheet!$B$20+4)*Worksheet!$G$10)/12*Request!$E24*Request!$J24,0),ROUND($E24*$J24*((1+$S$4)^4)/12*Worksheet!$G$5,0))))))),(IF(AND($S$4="Multi",$R$4="FY"),ROUND(((1+$M24)^(Worksheet!$B$20+4)*Worksheet!$G$9+(1+$M24)^(Worksheet!$B$20+5)*Worksheet!$G$10)/12*Request!$E24*Request!$J24,0),(IF(AND($S$4="Multi",$R$4="PY"),ROUND($E24*$J24*((1+$M24)^4)/12*Worksheet!$G$5,0),(IF(AND($S$4&lt;&gt;"Multi",$R$4="FY"),ROUND(((1+$S$4)^(Worksheet!$B$20+4)*Worksheet!$G$9+(1+$S$4)^(Worksheet!$B$20+5)*Worksheet!$G$10)/12*Request!$E24*Request!$J24,0),ROUND($E24*$J24*((1+$S$4)^4)/12*Worksheet!$G$5,0))))))))</f>
        <v>0</v>
      </c>
      <c r="S24" s="145">
        <f t="shared" si="3"/>
        <v>0</v>
      </c>
      <c r="T24" s="191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</row>
    <row r="25" spans="1:41" ht="11.45" hidden="1" x14ac:dyDescent="0.2">
      <c r="A25" s="149">
        <v>18</v>
      </c>
      <c r="B25" s="150"/>
      <c r="C25" s="150"/>
      <c r="D25" s="151"/>
      <c r="E25" s="152"/>
      <c r="F25" s="173"/>
      <c r="G25" s="173"/>
      <c r="H25" s="173"/>
      <c r="I25" s="173"/>
      <c r="J25" s="173"/>
      <c r="K25" s="147" t="s">
        <v>165</v>
      </c>
      <c r="L25" s="147">
        <v>12</v>
      </c>
      <c r="M25" s="148">
        <v>0.03</v>
      </c>
      <c r="N25" s="182">
        <f>IF(AND($S$4="Multi",$R$4="FY"),ROUND(((1+$M25)^Worksheet!$B$20*Worksheet!$C$9+(1+$M25)^(Worksheet!$B$20+1)*Worksheet!$C$10)/12*Request!$E25*Request!$F25,0),(IF(AND($S$4="Multi",$R$4="PY"),ROUND(E25*F25/12*Worksheet!$C$5,0),(IF(AND($S$4&lt;&gt;"Multi",$R$4="FY"),ROUND(((1+$S$4)^Worksheet!$B$20*Worksheet!$C$9+(1+$S$4)^(Worksheet!$B$20+1)*Worksheet!$C$10)/12*Request!$E25*Request!$F25,0),ROUND($E25*$F25/12*Worksheet!$C$5,0))))))</f>
        <v>0</v>
      </c>
      <c r="O25" s="182">
        <f>IF(Worksheet!$C$4=Worksheet!$D$4,(IF(AND($S$4="Multi",$R$4="FY"),ROUND(((1+$M25)^(Worksheet!$B$20)*Worksheet!$D$9+(1+$M25)^(Worksheet!$B$20+1)*Worksheet!$D$10)/12*Request!$E25*Request!$G25,0),(IF(AND($S$4="Multi",$R$4="PY"),ROUND($E25*$G25*(1+M25)/12*Worksheet!$D$5,0),(IF(AND($S$4&lt;&gt;"Multi",$R$4="FY"),ROUND(((1+$S$4)^(Worksheet!$B$20)*Worksheet!$D$9+(1+$S$4)^(Worksheet!$B$20+1)*Worksheet!$D$10)/12*Request!$E25*Request!$G25,0),ROUND($E25*$G25*(1+$S$4)/12*Worksheet!$D$5,0))))))),(IF(AND($S$4="Multi",$R$4="FY"),ROUND(((1+$M25)^(Worksheet!$B$20+1)*Worksheet!$D$9+(1+$M25)^(Worksheet!$B$20+2)*Worksheet!$D$10)/12*Request!$E25*Request!$G25,0),(IF(AND($S$4="Multi",$R$4="PY"),ROUND($E25*$G25*(1+M25)/12*Worksheet!$D$5,0),(IF(AND($S$4&lt;&gt;"Multi",$R$4="FY"),ROUND(((1+$S$4)^(Worksheet!$B$20+1)*Worksheet!$D$9+(1+$S$4)^(Worksheet!$B$20+2)*Worksheet!$D$10)/12*Request!$E25*Request!$G25,0),ROUND($E25*$G25*(1+$S$4)/12*Worksheet!$D$5,0))))))))</f>
        <v>0</v>
      </c>
      <c r="P25" s="182">
        <f>IF(Worksheet!$C$4=Worksheet!$D$4,(IF(AND($S$4="Multi",$R$4="FY"),ROUND(((1+$M25)^(Worksheet!$B$20+1)*Worksheet!$E$9+(1+$M25)^(Worksheet!$B$20+2)*Worksheet!$E$10)/12*Request!$E25*Request!H25,0),(IF(AND($S$4="Multi",$R$4="PY"),ROUND($E25*H25*((1+$M25)^2)/12*Worksheet!$E$5,0),(IF(AND($S$4&lt;&gt;"Multi",$R$4="FY"),ROUND(((1+$S$4)^(Worksheet!$B$20+1)*Worksheet!$E$9+(1+$S$4)^(Worksheet!$B$20+2)*Worksheet!$E$10)/12*Request!$E25*Request!H25,0),ROUND($E25*H25*((1+$S$4)^2)/12*Worksheet!$E$5,0))))))),(IF(AND($S$4="Multi",$R$4="FY"),ROUND(((1+$M25)^(Worksheet!$B$20+2)*Worksheet!$E$9+(1+$M25)^(Worksheet!$B$20+3)*Worksheet!$E$10)/12*Request!$E25*Request!H25,0),(IF(AND($S$4="Multi",$R$4="PY"),ROUND($E25*H25*((1+$M25)^2)/12*Worksheet!$E$5,0),(IF(AND($S$4&lt;&gt;"Multi",$R$4="FY"),ROUND(((1+$S$4)^(Worksheet!$B$20+2)*Worksheet!$E$9+(1+$S$4)^(Worksheet!$B$20+3)*Worksheet!$E$10)/12*Request!$E25*Request!H25,0),ROUND($E25*H25*((1+$S$4)^2)/12*Worksheet!$E$5,0))))))))</f>
        <v>0</v>
      </c>
      <c r="Q25" s="182">
        <f>IF(Worksheet!$C$4=Worksheet!$D$4,(IF(AND($S$4="Multi",$R$4="FY"),ROUND(((1+$M25)^(Worksheet!$B$20+2)*Worksheet!$F$9+(1+$M25)^(Worksheet!$B$20+3)*Worksheet!$F$10)/12*Request!$E25*Request!$I25,0),(IF(AND($S$4="Multi",$R$4="PY"),ROUND($E25*$I25*((1+$M25)^3)/12*Worksheet!$F$5,0),(IF(AND($S$4&lt;&gt;"Multi",$R$4="FY"),ROUND(((1+$S$4)^(Worksheet!$B$20+2)*Worksheet!$F$9+(1+$S$4)^(Worksheet!$B$20+3)*Worksheet!$F$10)/12*Request!$E25*Request!$I25,0),ROUND($E25*$I25*((1+$S$4)^3)/12*Worksheet!$F$5,0))))))),(IF(AND($S$4="Multi",$R$4="FY"),ROUND(((1+$M25)^(Worksheet!$B$20+3)*Worksheet!$F$9+(1+$M25)^(Worksheet!$B$20+4)*Worksheet!$F$10)/12*Request!$E25*Request!$I25,0),(IF(AND($S$4="Multi",$R$4="PY"),ROUND($E25*$I25*((1+$M25)^3)/12*Worksheet!$F$5,0),(IF(AND($S$4&lt;&gt;"Multi",$R$4="FY"),ROUND(((1+$S$4)^(Worksheet!$B$20+3)*Worksheet!$F$9+(1+$S$4)^(Worksheet!$B$20+4)*Worksheet!$F$10)/12*Request!$E25*Request!$I25,0),ROUND($E25*$I25*((1+$S$4)^3)/12*Worksheet!$F$5,0))))))))</f>
        <v>0</v>
      </c>
      <c r="R25" s="182">
        <f>IF(Worksheet!$C$4=Worksheet!$D$4,(IF(AND($S$4="Multi",$R$4="FY"),ROUND(((1+$M25)^(Worksheet!$B$20+3)*Worksheet!$G$9+(1+$M25)^(Worksheet!$B$20+4)*Worksheet!$G$10)/12*Request!$E25*Request!$J25,0),(IF(AND($S$4="Multi",$R$4="PY"),ROUND($E25*$J25*((1+$M25)^4)/12*Worksheet!$G$5,0),(IF(AND($S$4&lt;&gt;"Multi",$R$4="FY"),ROUND(((1+$S$4)^(Worksheet!$B$20+3)*Worksheet!$G$9+(1+$S$4)^(Worksheet!$B$20+4)*Worksheet!$G$10)/12*Request!$E25*Request!$J25,0),ROUND($E25*$J25*((1+$S$4)^4)/12*Worksheet!$G$5,0))))))),(IF(AND($S$4="Multi",$R$4="FY"),ROUND(((1+$M25)^(Worksheet!$B$20+4)*Worksheet!$G$9+(1+$M25)^(Worksheet!$B$20+5)*Worksheet!$G$10)/12*Request!$E25*Request!$J25,0),(IF(AND($S$4="Multi",$R$4="PY"),ROUND($E25*$J25*((1+$M25)^4)/12*Worksheet!$G$5,0),(IF(AND($S$4&lt;&gt;"Multi",$R$4="FY"),ROUND(((1+$S$4)^(Worksheet!$B$20+4)*Worksheet!$G$9+(1+$S$4)^(Worksheet!$B$20+5)*Worksheet!$G$10)/12*Request!$E25*Request!$J25,0),ROUND($E25*$J25*((1+$S$4)^4)/12*Worksheet!$G$5,0))))))))</f>
        <v>0</v>
      </c>
      <c r="S25" s="145">
        <f t="shared" si="3"/>
        <v>0</v>
      </c>
      <c r="T25" s="191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</row>
    <row r="26" spans="1:41" ht="11.45" hidden="1" x14ac:dyDescent="0.2">
      <c r="A26" s="149">
        <v>19</v>
      </c>
      <c r="B26" s="150"/>
      <c r="C26" s="150"/>
      <c r="D26" s="151"/>
      <c r="E26" s="152"/>
      <c r="F26" s="173"/>
      <c r="G26" s="173"/>
      <c r="H26" s="173"/>
      <c r="I26" s="173"/>
      <c r="J26" s="173"/>
      <c r="K26" s="147" t="s">
        <v>165</v>
      </c>
      <c r="L26" s="147">
        <v>12</v>
      </c>
      <c r="M26" s="148">
        <v>0.03</v>
      </c>
      <c r="N26" s="182">
        <f>IF(AND($S$4="Multi",$R$4="FY"),ROUND(((1+$M26)^Worksheet!$B$20*Worksheet!$C$9+(1+$M26)^(Worksheet!$B$20+1)*Worksheet!$C$10)/12*Request!$E26*Request!$F26,0),(IF(AND($S$4="Multi",$R$4="PY"),ROUND(E26*F26/12*Worksheet!$C$5,0),(IF(AND($S$4&lt;&gt;"Multi",$R$4="FY"),ROUND(((1+$S$4)^Worksheet!$B$20*Worksheet!$C$9+(1+$S$4)^(Worksheet!$B$20+1)*Worksheet!$C$10)/12*Request!$E26*Request!$F26,0),ROUND($E26*$F26/12*Worksheet!$C$5,0))))))</f>
        <v>0</v>
      </c>
      <c r="O26" s="182">
        <f>IF(Worksheet!$C$4=Worksheet!$D$4,(IF(AND($S$4="Multi",$R$4="FY"),ROUND(((1+$M26)^(Worksheet!$B$20)*Worksheet!$D$9+(1+$M26)^(Worksheet!$B$20+1)*Worksheet!$D$10)/12*Request!$E26*Request!$G26,0),(IF(AND($S$4="Multi",$R$4="PY"),ROUND($E26*$G26*(1+M26)/12*Worksheet!$D$5,0),(IF(AND($S$4&lt;&gt;"Multi",$R$4="FY"),ROUND(((1+$S$4)^(Worksheet!$B$20)*Worksheet!$D$9+(1+$S$4)^(Worksheet!$B$20+1)*Worksheet!$D$10)/12*Request!$E26*Request!$G26,0),ROUND($E26*$G26*(1+$S$4)/12*Worksheet!$D$5,0))))))),(IF(AND($S$4="Multi",$R$4="FY"),ROUND(((1+$M26)^(Worksheet!$B$20+1)*Worksheet!$D$9+(1+$M26)^(Worksheet!$B$20+2)*Worksheet!$D$10)/12*Request!$E26*Request!$G26,0),(IF(AND($S$4="Multi",$R$4="PY"),ROUND($E26*$G26*(1+M26)/12*Worksheet!$D$5,0),(IF(AND($S$4&lt;&gt;"Multi",$R$4="FY"),ROUND(((1+$S$4)^(Worksheet!$B$20+1)*Worksheet!$D$9+(1+$S$4)^(Worksheet!$B$20+2)*Worksheet!$D$10)/12*Request!$E26*Request!$G26,0),ROUND($E26*$G26*(1+$S$4)/12*Worksheet!$D$5,0))))))))</f>
        <v>0</v>
      </c>
      <c r="P26" s="182">
        <f>IF(Worksheet!$C$4=Worksheet!$D$4,(IF(AND($S$4="Multi",$R$4="FY"),ROUND(((1+$M26)^(Worksheet!$B$20+1)*Worksheet!$E$9+(1+$M26)^(Worksheet!$B$20+2)*Worksheet!$E$10)/12*Request!$E26*Request!H26,0),(IF(AND($S$4="Multi",$R$4="PY"),ROUND($E26*H26*((1+$M26)^2)/12*Worksheet!$E$5,0),(IF(AND($S$4&lt;&gt;"Multi",$R$4="FY"),ROUND(((1+$S$4)^(Worksheet!$B$20+1)*Worksheet!$E$9+(1+$S$4)^(Worksheet!$B$20+2)*Worksheet!$E$10)/12*Request!$E26*Request!H26,0),ROUND($E26*H26*((1+$S$4)^2)/12*Worksheet!$E$5,0))))))),(IF(AND($S$4="Multi",$R$4="FY"),ROUND(((1+$M26)^(Worksheet!$B$20+2)*Worksheet!$E$9+(1+$M26)^(Worksheet!$B$20+3)*Worksheet!$E$10)/12*Request!$E26*Request!H26,0),(IF(AND($S$4="Multi",$R$4="PY"),ROUND($E26*H26*((1+$M26)^2)/12*Worksheet!$E$5,0),(IF(AND($S$4&lt;&gt;"Multi",$R$4="FY"),ROUND(((1+$S$4)^(Worksheet!$B$20+2)*Worksheet!$E$9+(1+$S$4)^(Worksheet!$B$20+3)*Worksheet!$E$10)/12*Request!$E26*Request!H26,0),ROUND($E26*H26*((1+$S$4)^2)/12*Worksheet!$E$5,0))))))))</f>
        <v>0</v>
      </c>
      <c r="Q26" s="182">
        <f>IF(Worksheet!$C$4=Worksheet!$D$4,(IF(AND($S$4="Multi",$R$4="FY"),ROUND(((1+$M26)^(Worksheet!$B$20+2)*Worksheet!$F$9+(1+$M26)^(Worksheet!$B$20+3)*Worksheet!$F$10)/12*Request!$E26*Request!$I26,0),(IF(AND($S$4="Multi",$R$4="PY"),ROUND($E26*$I26*((1+$M26)^3)/12*Worksheet!$F$5,0),(IF(AND($S$4&lt;&gt;"Multi",$R$4="FY"),ROUND(((1+$S$4)^(Worksheet!$B$20+2)*Worksheet!$F$9+(1+$S$4)^(Worksheet!$B$20+3)*Worksheet!$F$10)/12*Request!$E26*Request!$I26,0),ROUND($E26*$I26*((1+$S$4)^3)/12*Worksheet!$F$5,0))))))),(IF(AND($S$4="Multi",$R$4="FY"),ROUND(((1+$M26)^(Worksheet!$B$20+3)*Worksheet!$F$9+(1+$M26)^(Worksheet!$B$20+4)*Worksheet!$F$10)/12*Request!$E26*Request!$I26,0),(IF(AND($S$4="Multi",$R$4="PY"),ROUND($E26*$I26*((1+$M26)^3)/12*Worksheet!$F$5,0),(IF(AND($S$4&lt;&gt;"Multi",$R$4="FY"),ROUND(((1+$S$4)^(Worksheet!$B$20+3)*Worksheet!$F$9+(1+$S$4)^(Worksheet!$B$20+4)*Worksheet!$F$10)/12*Request!$E26*Request!$I26,0),ROUND($E26*$I26*((1+$S$4)^3)/12*Worksheet!$F$5,0))))))))</f>
        <v>0</v>
      </c>
      <c r="R26" s="182">
        <f>IF(Worksheet!$C$4=Worksheet!$D$4,(IF(AND($S$4="Multi",$R$4="FY"),ROUND(((1+$M26)^(Worksheet!$B$20+3)*Worksheet!$G$9+(1+$M26)^(Worksheet!$B$20+4)*Worksheet!$G$10)/12*Request!$E26*Request!$J26,0),(IF(AND($S$4="Multi",$R$4="PY"),ROUND($E26*$J26*((1+$M26)^4)/12*Worksheet!$G$5,0),(IF(AND($S$4&lt;&gt;"Multi",$R$4="FY"),ROUND(((1+$S$4)^(Worksheet!$B$20+3)*Worksheet!$G$9+(1+$S$4)^(Worksheet!$B$20+4)*Worksheet!$G$10)/12*Request!$E26*Request!$J26,0),ROUND($E26*$J26*((1+$S$4)^4)/12*Worksheet!$G$5,0))))))),(IF(AND($S$4="Multi",$R$4="FY"),ROUND(((1+$M26)^(Worksheet!$B$20+4)*Worksheet!$G$9+(1+$M26)^(Worksheet!$B$20+5)*Worksheet!$G$10)/12*Request!$E26*Request!$J26,0),(IF(AND($S$4="Multi",$R$4="PY"),ROUND($E26*$J26*((1+$M26)^4)/12*Worksheet!$G$5,0),(IF(AND($S$4&lt;&gt;"Multi",$R$4="FY"),ROUND(((1+$S$4)^(Worksheet!$B$20+4)*Worksheet!$G$9+(1+$S$4)^(Worksheet!$B$20+5)*Worksheet!$G$10)/12*Request!$E26*Request!$J26,0),ROUND($E26*$J26*((1+$S$4)^4)/12*Worksheet!$G$5,0))))))))</f>
        <v>0</v>
      </c>
      <c r="S26" s="145">
        <f t="shared" si="3"/>
        <v>0</v>
      </c>
      <c r="T26" s="191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</row>
    <row r="27" spans="1:41" ht="11.45" hidden="1" x14ac:dyDescent="0.2">
      <c r="A27" s="149">
        <v>20</v>
      </c>
      <c r="B27" s="150"/>
      <c r="C27" s="150"/>
      <c r="D27" s="151"/>
      <c r="E27" s="152"/>
      <c r="F27" s="173"/>
      <c r="G27" s="173"/>
      <c r="H27" s="173"/>
      <c r="I27" s="173"/>
      <c r="J27" s="173"/>
      <c r="K27" s="147" t="s">
        <v>165</v>
      </c>
      <c r="L27" s="147">
        <v>12</v>
      </c>
      <c r="M27" s="148">
        <v>0.03</v>
      </c>
      <c r="N27" s="182">
        <f>IF(AND($S$4="Multi",$R$4="FY"),ROUND(((1+$M27)^Worksheet!$B$20*Worksheet!$C$9+(1+$M27)^(Worksheet!$B$20+1)*Worksheet!$C$10)/12*Request!$E27*Request!$F27,0),(IF(AND($S$4="Multi",$R$4="PY"),ROUND(E27*F27/12*Worksheet!$C$5,0),(IF(AND($S$4&lt;&gt;"Multi",$R$4="FY"),ROUND(((1+$S$4)^Worksheet!$B$20*Worksheet!$C$9+(1+$S$4)^(Worksheet!$B$20+1)*Worksheet!$C$10)/12*Request!$E27*Request!$F27,0),ROUND($E27*$F27/12*Worksheet!$C$5,0))))))</f>
        <v>0</v>
      </c>
      <c r="O27" s="182">
        <f>IF(Worksheet!$C$4=Worksheet!$D$4,(IF(AND($S$4="Multi",$R$4="FY"),ROUND(((1+$M27)^(Worksheet!$B$20)*Worksheet!$D$9+(1+$M27)^(Worksheet!$B$20+1)*Worksheet!$D$10)/12*Request!$E27*Request!$G27,0),(IF(AND($S$4="Multi",$R$4="PY"),ROUND($E27*$G27*(1+M27)/12*Worksheet!$D$5,0),(IF(AND($S$4&lt;&gt;"Multi",$R$4="FY"),ROUND(((1+$S$4)^(Worksheet!$B$20)*Worksheet!$D$9+(1+$S$4)^(Worksheet!$B$20+1)*Worksheet!$D$10)/12*Request!$E27*Request!$G27,0),ROUND($E27*$G27*(1+$S$4)/12*Worksheet!$D$5,0))))))),(IF(AND($S$4="Multi",$R$4="FY"),ROUND(((1+$M27)^(Worksheet!$B$20+1)*Worksheet!$D$9+(1+$M27)^(Worksheet!$B$20+2)*Worksheet!$D$10)/12*Request!$E27*Request!$G27,0),(IF(AND($S$4="Multi",$R$4="PY"),ROUND($E27*$G27*(1+M27)/12*Worksheet!$D$5,0),(IF(AND($S$4&lt;&gt;"Multi",$R$4="FY"),ROUND(((1+$S$4)^(Worksheet!$B$20+1)*Worksheet!$D$9+(1+$S$4)^(Worksheet!$B$20+2)*Worksheet!$D$10)/12*Request!$E27*Request!$G27,0),ROUND($E27*$G27*(1+$S$4)/12*Worksheet!$D$5,0))))))))</f>
        <v>0</v>
      </c>
      <c r="P27" s="182">
        <f>IF(Worksheet!$C$4=Worksheet!$D$4,(IF(AND($S$4="Multi",$R$4="FY"),ROUND(((1+$M27)^(Worksheet!$B$20+1)*Worksheet!$E$9+(1+$M27)^(Worksheet!$B$20+2)*Worksheet!$E$10)/12*Request!$E27*Request!H27,0),(IF(AND($S$4="Multi",$R$4="PY"),ROUND($E27*H27*((1+$M27)^2)/12*Worksheet!$E$5,0),(IF(AND($S$4&lt;&gt;"Multi",$R$4="FY"),ROUND(((1+$S$4)^(Worksheet!$B$20+1)*Worksheet!$E$9+(1+$S$4)^(Worksheet!$B$20+2)*Worksheet!$E$10)/12*Request!$E27*Request!H27,0),ROUND($E27*H27*((1+$S$4)^2)/12*Worksheet!$E$5,0))))))),(IF(AND($S$4="Multi",$R$4="FY"),ROUND(((1+$M27)^(Worksheet!$B$20+2)*Worksheet!$E$9+(1+$M27)^(Worksheet!$B$20+3)*Worksheet!$E$10)/12*Request!$E27*Request!H27,0),(IF(AND($S$4="Multi",$R$4="PY"),ROUND($E27*H27*((1+$M27)^2)/12*Worksheet!$E$5,0),(IF(AND($S$4&lt;&gt;"Multi",$R$4="FY"),ROUND(((1+$S$4)^(Worksheet!$B$20+2)*Worksheet!$E$9+(1+$S$4)^(Worksheet!$B$20+3)*Worksheet!$E$10)/12*Request!$E27*Request!H27,0),ROUND($E27*H27*((1+$S$4)^2)/12*Worksheet!$E$5,0))))))))</f>
        <v>0</v>
      </c>
      <c r="Q27" s="182">
        <f>IF(Worksheet!$C$4=Worksheet!$D$4,(IF(AND($S$4="Multi",$R$4="FY"),ROUND(((1+$M27)^(Worksheet!$B$20+2)*Worksheet!$F$9+(1+$M27)^(Worksheet!$B$20+3)*Worksheet!$F$10)/12*Request!$E27*Request!$I27,0),(IF(AND($S$4="Multi",$R$4="PY"),ROUND($E27*$I27*((1+$M27)^3)/12*Worksheet!$F$5,0),(IF(AND($S$4&lt;&gt;"Multi",$R$4="FY"),ROUND(((1+$S$4)^(Worksheet!$B$20+2)*Worksheet!$F$9+(1+$S$4)^(Worksheet!$B$20+3)*Worksheet!$F$10)/12*Request!$E27*Request!$I27,0),ROUND($E27*$I27*((1+$S$4)^3)/12*Worksheet!$F$5,0))))))),(IF(AND($S$4="Multi",$R$4="FY"),ROUND(((1+$M27)^(Worksheet!$B$20+3)*Worksheet!$F$9+(1+$M27)^(Worksheet!$B$20+4)*Worksheet!$F$10)/12*Request!$E27*Request!$I27,0),(IF(AND($S$4="Multi",$R$4="PY"),ROUND($E27*$I27*((1+$M27)^3)/12*Worksheet!$F$5,0),(IF(AND($S$4&lt;&gt;"Multi",$R$4="FY"),ROUND(((1+$S$4)^(Worksheet!$B$20+3)*Worksheet!$F$9+(1+$S$4)^(Worksheet!$B$20+4)*Worksheet!$F$10)/12*Request!$E27*Request!$I27,0),ROUND($E27*$I27*((1+$S$4)^3)/12*Worksheet!$F$5,0))))))))</f>
        <v>0</v>
      </c>
      <c r="R27" s="182">
        <f>IF(Worksheet!$C$4=Worksheet!$D$4,(IF(AND($S$4="Multi",$R$4="FY"),ROUND(((1+$M27)^(Worksheet!$B$20+3)*Worksheet!$G$9+(1+$M27)^(Worksheet!$B$20+4)*Worksheet!$G$10)/12*Request!$E27*Request!$J27,0),(IF(AND($S$4="Multi",$R$4="PY"),ROUND($E27*$J27*((1+$M27)^4)/12*Worksheet!$G$5,0),(IF(AND($S$4&lt;&gt;"Multi",$R$4="FY"),ROUND(((1+$S$4)^(Worksheet!$B$20+3)*Worksheet!$G$9+(1+$S$4)^(Worksheet!$B$20+4)*Worksheet!$G$10)/12*Request!$E27*Request!$J27,0),ROUND($E27*$J27*((1+$S$4)^4)/12*Worksheet!$G$5,0))))))),(IF(AND($S$4="Multi",$R$4="FY"),ROUND(((1+$M27)^(Worksheet!$B$20+4)*Worksheet!$G$9+(1+$M27)^(Worksheet!$B$20+5)*Worksheet!$G$10)/12*Request!$E27*Request!$J27,0),(IF(AND($S$4="Multi",$R$4="PY"),ROUND($E27*$J27*((1+$M27)^4)/12*Worksheet!$G$5,0),(IF(AND($S$4&lt;&gt;"Multi",$R$4="FY"),ROUND(((1+$S$4)^(Worksheet!$B$20+4)*Worksheet!$G$9+(1+$S$4)^(Worksheet!$B$20+5)*Worksheet!$G$10)/12*Request!$E27*Request!$J27,0),ROUND($E27*$J27*((1+$S$4)^4)/12*Worksheet!$G$5,0))))))))</f>
        <v>0</v>
      </c>
      <c r="S27" s="145">
        <f t="shared" si="3"/>
        <v>0</v>
      </c>
      <c r="T27" s="191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</row>
    <row r="28" spans="1:41" ht="11.45" hidden="1" x14ac:dyDescent="0.2">
      <c r="A28" s="149">
        <v>21</v>
      </c>
      <c r="B28" s="150"/>
      <c r="C28" s="150"/>
      <c r="D28" s="151"/>
      <c r="E28" s="152"/>
      <c r="F28" s="173"/>
      <c r="G28" s="173"/>
      <c r="H28" s="173"/>
      <c r="I28" s="173"/>
      <c r="J28" s="173"/>
      <c r="K28" s="147" t="s">
        <v>165</v>
      </c>
      <c r="L28" s="147">
        <v>12</v>
      </c>
      <c r="M28" s="148">
        <v>0.03</v>
      </c>
      <c r="N28" s="182">
        <f>IF(AND($S$4="Multi",$R$4="FY"),ROUND(((1+$M28)^Worksheet!$B$20*Worksheet!$C$9+(1+$M28)^(Worksheet!$B$20+1)*Worksheet!$C$10)/12*Request!$E28*Request!$F28,0),(IF(AND($S$4="Multi",$R$4="PY"),ROUND(E28*F28/12*Worksheet!$C$5,0),(IF(AND($S$4&lt;&gt;"Multi",$R$4="FY"),ROUND(((1+$S$4)^Worksheet!$B$20*Worksheet!$C$9+(1+$S$4)^(Worksheet!$B$20+1)*Worksheet!$C$10)/12*Request!$E28*Request!$F28,0),ROUND($E28*$F28/12*Worksheet!$C$5,0))))))</f>
        <v>0</v>
      </c>
      <c r="O28" s="182">
        <f>IF(Worksheet!$C$4=Worksheet!$D$4,(IF(AND($S$4="Multi",$R$4="FY"),ROUND(((1+$M28)^(Worksheet!$B$20)*Worksheet!$D$9+(1+$M28)^(Worksheet!$B$20+1)*Worksheet!$D$10)/12*Request!$E28*Request!$G28,0),(IF(AND($S$4="Multi",$R$4="PY"),ROUND($E28*$G28*(1+M28)/12*Worksheet!$D$5,0),(IF(AND($S$4&lt;&gt;"Multi",$R$4="FY"),ROUND(((1+$S$4)^(Worksheet!$B$20)*Worksheet!$D$9+(1+$S$4)^(Worksheet!$B$20+1)*Worksheet!$D$10)/12*Request!$E28*Request!$G28,0),ROUND($E28*$G28*(1+$S$4)/12*Worksheet!$D$5,0))))))),(IF(AND($S$4="Multi",$R$4="FY"),ROUND(((1+$M28)^(Worksheet!$B$20+1)*Worksheet!$D$9+(1+$M28)^(Worksheet!$B$20+2)*Worksheet!$D$10)/12*Request!$E28*Request!$G28,0),(IF(AND($S$4="Multi",$R$4="PY"),ROUND($E28*$G28*(1+M28)/12*Worksheet!$D$5,0),(IF(AND($S$4&lt;&gt;"Multi",$R$4="FY"),ROUND(((1+$S$4)^(Worksheet!$B$20+1)*Worksheet!$D$9+(1+$S$4)^(Worksheet!$B$20+2)*Worksheet!$D$10)/12*Request!$E28*Request!$G28,0),ROUND($E28*$G28*(1+$S$4)/12*Worksheet!$D$5,0))))))))</f>
        <v>0</v>
      </c>
      <c r="P28" s="182">
        <f>IF(Worksheet!$C$4=Worksheet!$D$4,(IF(AND($S$4="Multi",$R$4="FY"),ROUND(((1+$M28)^(Worksheet!$B$20+1)*Worksheet!$E$9+(1+$M28)^(Worksheet!$B$20+2)*Worksheet!$E$10)/12*Request!$E28*Request!H28,0),(IF(AND($S$4="Multi",$R$4="PY"),ROUND($E28*H28*((1+$M28)^2)/12*Worksheet!$E$5,0),(IF(AND($S$4&lt;&gt;"Multi",$R$4="FY"),ROUND(((1+$S$4)^(Worksheet!$B$20+1)*Worksheet!$E$9+(1+$S$4)^(Worksheet!$B$20+2)*Worksheet!$E$10)/12*Request!$E28*Request!H28,0),ROUND($E28*H28*((1+$S$4)^2)/12*Worksheet!$E$5,0))))))),(IF(AND($S$4="Multi",$R$4="FY"),ROUND(((1+$M28)^(Worksheet!$B$20+2)*Worksheet!$E$9+(1+$M28)^(Worksheet!$B$20+3)*Worksheet!$E$10)/12*Request!$E28*Request!H28,0),(IF(AND($S$4="Multi",$R$4="PY"),ROUND($E28*H28*((1+$M28)^2)/12*Worksheet!$E$5,0),(IF(AND($S$4&lt;&gt;"Multi",$R$4="FY"),ROUND(((1+$S$4)^(Worksheet!$B$20+2)*Worksheet!$E$9+(1+$S$4)^(Worksheet!$B$20+3)*Worksheet!$E$10)/12*Request!$E28*Request!H28,0),ROUND($E28*H28*((1+$S$4)^2)/12*Worksheet!$E$5,0))))))))</f>
        <v>0</v>
      </c>
      <c r="Q28" s="182">
        <f>IF(Worksheet!$C$4=Worksheet!$D$4,(IF(AND($S$4="Multi",$R$4="FY"),ROUND(((1+$M28)^(Worksheet!$B$20+2)*Worksheet!$F$9+(1+$M28)^(Worksheet!$B$20+3)*Worksheet!$F$10)/12*Request!$E28*Request!$I28,0),(IF(AND($S$4="Multi",$R$4="PY"),ROUND($E28*$I28*((1+$M28)^3)/12*Worksheet!$F$5,0),(IF(AND($S$4&lt;&gt;"Multi",$R$4="FY"),ROUND(((1+$S$4)^(Worksheet!$B$20+2)*Worksheet!$F$9+(1+$S$4)^(Worksheet!$B$20+3)*Worksheet!$F$10)/12*Request!$E28*Request!$I28,0),ROUND($E28*$I28*((1+$S$4)^3)/12*Worksheet!$F$5,0))))))),(IF(AND($S$4="Multi",$R$4="FY"),ROUND(((1+$M28)^(Worksheet!$B$20+3)*Worksheet!$F$9+(1+$M28)^(Worksheet!$B$20+4)*Worksheet!$F$10)/12*Request!$E28*Request!$I28,0),(IF(AND($S$4="Multi",$R$4="PY"),ROUND($E28*$I28*((1+$M28)^3)/12*Worksheet!$F$5,0),(IF(AND($S$4&lt;&gt;"Multi",$R$4="FY"),ROUND(((1+$S$4)^(Worksheet!$B$20+3)*Worksheet!$F$9+(1+$S$4)^(Worksheet!$B$20+4)*Worksheet!$F$10)/12*Request!$E28*Request!$I28,0),ROUND($E28*$I28*((1+$S$4)^3)/12*Worksheet!$F$5,0))))))))</f>
        <v>0</v>
      </c>
      <c r="R28" s="182">
        <f>IF(Worksheet!$C$4=Worksheet!$D$4,(IF(AND($S$4="Multi",$R$4="FY"),ROUND(((1+$M28)^(Worksheet!$B$20+3)*Worksheet!$G$9+(1+$M28)^(Worksheet!$B$20+4)*Worksheet!$G$10)/12*Request!$E28*Request!$J28,0),(IF(AND($S$4="Multi",$R$4="PY"),ROUND($E28*$J28*((1+$M28)^4)/12*Worksheet!$G$5,0),(IF(AND($S$4&lt;&gt;"Multi",$R$4="FY"),ROUND(((1+$S$4)^(Worksheet!$B$20+3)*Worksheet!$G$9+(1+$S$4)^(Worksheet!$B$20+4)*Worksheet!$G$10)/12*Request!$E28*Request!$J28,0),ROUND($E28*$J28*((1+$S$4)^4)/12*Worksheet!$G$5,0))))))),(IF(AND($S$4="Multi",$R$4="FY"),ROUND(((1+$M28)^(Worksheet!$B$20+4)*Worksheet!$G$9+(1+$M28)^(Worksheet!$B$20+5)*Worksheet!$G$10)/12*Request!$E28*Request!$J28,0),(IF(AND($S$4="Multi",$R$4="PY"),ROUND($E28*$J28*((1+$M28)^4)/12*Worksheet!$G$5,0),(IF(AND($S$4&lt;&gt;"Multi",$R$4="FY"),ROUND(((1+$S$4)^(Worksheet!$B$20+4)*Worksheet!$G$9+(1+$S$4)^(Worksheet!$B$20+5)*Worksheet!$G$10)/12*Request!$E28*Request!$J28,0),ROUND($E28*$J28*((1+$S$4)^4)/12*Worksheet!$G$5,0))))))))</f>
        <v>0</v>
      </c>
      <c r="S28" s="145">
        <f t="shared" si="3"/>
        <v>0</v>
      </c>
      <c r="T28" s="191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</row>
    <row r="29" spans="1:41" ht="11.45" hidden="1" x14ac:dyDescent="0.2">
      <c r="A29" s="149">
        <v>22</v>
      </c>
      <c r="B29" s="150"/>
      <c r="C29" s="150"/>
      <c r="D29" s="151"/>
      <c r="E29" s="152"/>
      <c r="F29" s="173"/>
      <c r="G29" s="173"/>
      <c r="H29" s="173"/>
      <c r="I29" s="173"/>
      <c r="J29" s="173"/>
      <c r="K29" s="147" t="s">
        <v>165</v>
      </c>
      <c r="L29" s="147">
        <v>12</v>
      </c>
      <c r="M29" s="148">
        <v>0.03</v>
      </c>
      <c r="N29" s="182">
        <f>IF(AND($S$4="Multi",$R$4="FY"),ROUND(((1+$M29)^Worksheet!$B$20*Worksheet!$C$9+(1+$M29)^(Worksheet!$B$20+1)*Worksheet!$C$10)/12*Request!$E29*Request!$F29,0),(IF(AND($S$4="Multi",$R$4="PY"),ROUND(E29*F29/12*Worksheet!$C$5,0),(IF(AND($S$4&lt;&gt;"Multi",$R$4="FY"),ROUND(((1+$S$4)^Worksheet!$B$20*Worksheet!$C$9+(1+$S$4)^(Worksheet!$B$20+1)*Worksheet!$C$10)/12*Request!$E29*Request!$F29,0),ROUND($E29*$F29/12*Worksheet!$C$5,0))))))</f>
        <v>0</v>
      </c>
      <c r="O29" s="182">
        <f>IF(Worksheet!$C$4=Worksheet!$D$4,(IF(AND($S$4="Multi",$R$4="FY"),ROUND(((1+$M29)^(Worksheet!$B$20)*Worksheet!$D$9+(1+$M29)^(Worksheet!$B$20+1)*Worksheet!$D$10)/12*Request!$E29*Request!$G29,0),(IF(AND($S$4="Multi",$R$4="PY"),ROUND($E29*$G29*(1+M29)/12*Worksheet!$D$5,0),(IF(AND($S$4&lt;&gt;"Multi",$R$4="FY"),ROUND(((1+$S$4)^(Worksheet!$B$20)*Worksheet!$D$9+(1+$S$4)^(Worksheet!$B$20+1)*Worksheet!$D$10)/12*Request!$E29*Request!$G29,0),ROUND($E29*$G29*(1+$S$4)/12*Worksheet!$D$5,0))))))),(IF(AND($S$4="Multi",$R$4="FY"),ROUND(((1+$M29)^(Worksheet!$B$20+1)*Worksheet!$D$9+(1+$M29)^(Worksheet!$B$20+2)*Worksheet!$D$10)/12*Request!$E29*Request!$G29,0),(IF(AND($S$4="Multi",$R$4="PY"),ROUND($E29*$G29*(1+M29)/12*Worksheet!$D$5,0),(IF(AND($S$4&lt;&gt;"Multi",$R$4="FY"),ROUND(((1+$S$4)^(Worksheet!$B$20+1)*Worksheet!$D$9+(1+$S$4)^(Worksheet!$B$20+2)*Worksheet!$D$10)/12*Request!$E29*Request!$G29,0),ROUND($E29*$G29*(1+$S$4)/12*Worksheet!$D$5,0))))))))</f>
        <v>0</v>
      </c>
      <c r="P29" s="182">
        <f>IF(Worksheet!$C$4=Worksheet!$D$4,(IF(AND($S$4="Multi",$R$4="FY"),ROUND(((1+$M29)^(Worksheet!$B$20+1)*Worksheet!$E$9+(1+$M29)^(Worksheet!$B$20+2)*Worksheet!$E$10)/12*Request!$E29*Request!H29,0),(IF(AND($S$4="Multi",$R$4="PY"),ROUND($E29*H29*((1+$M29)^2)/12*Worksheet!$E$5,0),(IF(AND($S$4&lt;&gt;"Multi",$R$4="FY"),ROUND(((1+$S$4)^(Worksheet!$B$20+1)*Worksheet!$E$9+(1+$S$4)^(Worksheet!$B$20+2)*Worksheet!$E$10)/12*Request!$E29*Request!H29,0),ROUND($E29*H29*((1+$S$4)^2)/12*Worksheet!$E$5,0))))))),(IF(AND($S$4="Multi",$R$4="FY"),ROUND(((1+$M29)^(Worksheet!$B$20+2)*Worksheet!$E$9+(1+$M29)^(Worksheet!$B$20+3)*Worksheet!$E$10)/12*Request!$E29*Request!H29,0),(IF(AND($S$4="Multi",$R$4="PY"),ROUND($E29*H29*((1+$M29)^2)/12*Worksheet!$E$5,0),(IF(AND($S$4&lt;&gt;"Multi",$R$4="FY"),ROUND(((1+$S$4)^(Worksheet!$B$20+2)*Worksheet!$E$9+(1+$S$4)^(Worksheet!$B$20+3)*Worksheet!$E$10)/12*Request!$E29*Request!H29,0),ROUND($E29*H29*((1+$S$4)^2)/12*Worksheet!$E$5,0))))))))</f>
        <v>0</v>
      </c>
      <c r="Q29" s="182">
        <f>IF(Worksheet!$C$4=Worksheet!$D$4,(IF(AND($S$4="Multi",$R$4="FY"),ROUND(((1+$M29)^(Worksheet!$B$20+2)*Worksheet!$F$9+(1+$M29)^(Worksheet!$B$20+3)*Worksheet!$F$10)/12*Request!$E29*Request!$I29,0),(IF(AND($S$4="Multi",$R$4="PY"),ROUND($E29*$I29*((1+$M29)^3)/12*Worksheet!$F$5,0),(IF(AND($S$4&lt;&gt;"Multi",$R$4="FY"),ROUND(((1+$S$4)^(Worksheet!$B$20+2)*Worksheet!$F$9+(1+$S$4)^(Worksheet!$B$20+3)*Worksheet!$F$10)/12*Request!$E29*Request!$I29,0),ROUND($E29*$I29*((1+$S$4)^3)/12*Worksheet!$F$5,0))))))),(IF(AND($S$4="Multi",$R$4="FY"),ROUND(((1+$M29)^(Worksheet!$B$20+3)*Worksheet!$F$9+(1+$M29)^(Worksheet!$B$20+4)*Worksheet!$F$10)/12*Request!$E29*Request!$I29,0),(IF(AND($S$4="Multi",$R$4="PY"),ROUND($E29*$I29*((1+$M29)^3)/12*Worksheet!$F$5,0),(IF(AND($S$4&lt;&gt;"Multi",$R$4="FY"),ROUND(((1+$S$4)^(Worksheet!$B$20+3)*Worksheet!$F$9+(1+$S$4)^(Worksheet!$B$20+4)*Worksheet!$F$10)/12*Request!$E29*Request!$I29,0),ROUND($E29*$I29*((1+$S$4)^3)/12*Worksheet!$F$5,0))))))))</f>
        <v>0</v>
      </c>
      <c r="R29" s="182">
        <f>IF(Worksheet!$C$4=Worksheet!$D$4,(IF(AND($S$4="Multi",$R$4="FY"),ROUND(((1+$M29)^(Worksheet!$B$20+3)*Worksheet!$G$9+(1+$M29)^(Worksheet!$B$20+4)*Worksheet!$G$10)/12*Request!$E29*Request!$J29,0),(IF(AND($S$4="Multi",$R$4="PY"),ROUND($E29*$J29*((1+$M29)^4)/12*Worksheet!$G$5,0),(IF(AND($S$4&lt;&gt;"Multi",$R$4="FY"),ROUND(((1+$S$4)^(Worksheet!$B$20+3)*Worksheet!$G$9+(1+$S$4)^(Worksheet!$B$20+4)*Worksheet!$G$10)/12*Request!$E29*Request!$J29,0),ROUND($E29*$J29*((1+$S$4)^4)/12*Worksheet!$G$5,0))))))),(IF(AND($S$4="Multi",$R$4="FY"),ROUND(((1+$M29)^(Worksheet!$B$20+4)*Worksheet!$G$9+(1+$M29)^(Worksheet!$B$20+5)*Worksheet!$G$10)/12*Request!$E29*Request!$J29,0),(IF(AND($S$4="Multi",$R$4="PY"),ROUND($E29*$J29*((1+$M29)^4)/12*Worksheet!$G$5,0),(IF(AND($S$4&lt;&gt;"Multi",$R$4="FY"),ROUND(((1+$S$4)^(Worksheet!$B$20+4)*Worksheet!$G$9+(1+$S$4)^(Worksheet!$B$20+5)*Worksheet!$G$10)/12*Request!$E29*Request!$J29,0),ROUND($E29*$J29*((1+$S$4)^4)/12*Worksheet!$G$5,0))))))))</f>
        <v>0</v>
      </c>
      <c r="S29" s="145">
        <f t="shared" si="3"/>
        <v>0</v>
      </c>
      <c r="T29" s="191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</row>
    <row r="30" spans="1:41" ht="11.45" hidden="1" x14ac:dyDescent="0.2">
      <c r="A30" s="149">
        <v>23</v>
      </c>
      <c r="B30" s="150"/>
      <c r="C30" s="150"/>
      <c r="D30" s="151"/>
      <c r="E30" s="152"/>
      <c r="F30" s="173"/>
      <c r="G30" s="173"/>
      <c r="H30" s="173"/>
      <c r="I30" s="173"/>
      <c r="J30" s="173"/>
      <c r="K30" s="147" t="s">
        <v>165</v>
      </c>
      <c r="L30" s="147">
        <v>12</v>
      </c>
      <c r="M30" s="148">
        <v>0.03</v>
      </c>
      <c r="N30" s="182">
        <f>IF(AND($S$4="Multi",$R$4="FY"),ROUND(((1+$M30)^Worksheet!$B$20*Worksheet!$C$9+(1+$M30)^(Worksheet!$B$20+1)*Worksheet!$C$10)/12*Request!$E30*Request!$F30,0),(IF(AND($S$4="Multi",$R$4="PY"),ROUND(E30*F30/12*Worksheet!$C$5,0),(IF(AND($S$4&lt;&gt;"Multi",$R$4="FY"),ROUND(((1+$S$4)^Worksheet!$B$20*Worksheet!$C$9+(1+$S$4)^(Worksheet!$B$20+1)*Worksheet!$C$10)/12*Request!$E30*Request!$F30,0),ROUND($E30*$F30/12*Worksheet!$C$5,0))))))</f>
        <v>0</v>
      </c>
      <c r="O30" s="182">
        <f>IF(Worksheet!$C$4=Worksheet!$D$4,(IF(AND($S$4="Multi",$R$4="FY"),ROUND(((1+$M30)^(Worksheet!$B$20)*Worksheet!$D$9+(1+$M30)^(Worksheet!$B$20+1)*Worksheet!$D$10)/12*Request!$E30*Request!$G30,0),(IF(AND($S$4="Multi",$R$4="PY"),ROUND($E30*$G30*(1+M30)/12*Worksheet!$D$5,0),(IF(AND($S$4&lt;&gt;"Multi",$R$4="FY"),ROUND(((1+$S$4)^(Worksheet!$B$20)*Worksheet!$D$9+(1+$S$4)^(Worksheet!$B$20+1)*Worksheet!$D$10)/12*Request!$E30*Request!$G30,0),ROUND($E30*$G30*(1+$S$4)/12*Worksheet!$D$5,0))))))),(IF(AND($S$4="Multi",$R$4="FY"),ROUND(((1+$M30)^(Worksheet!$B$20+1)*Worksheet!$D$9+(1+$M30)^(Worksheet!$B$20+2)*Worksheet!$D$10)/12*Request!$E30*Request!$G30,0),(IF(AND($S$4="Multi",$R$4="PY"),ROUND($E30*$G30*(1+M30)/12*Worksheet!$D$5,0),(IF(AND($S$4&lt;&gt;"Multi",$R$4="FY"),ROUND(((1+$S$4)^(Worksheet!$B$20+1)*Worksheet!$D$9+(1+$S$4)^(Worksheet!$B$20+2)*Worksheet!$D$10)/12*Request!$E30*Request!$G30,0),ROUND($E30*$G30*(1+$S$4)/12*Worksheet!$D$5,0))))))))</f>
        <v>0</v>
      </c>
      <c r="P30" s="182">
        <f>IF(Worksheet!$C$4=Worksheet!$D$4,(IF(AND($S$4="Multi",$R$4="FY"),ROUND(((1+$M30)^(Worksheet!$B$20+1)*Worksheet!$E$9+(1+$M30)^(Worksheet!$B$20+2)*Worksheet!$E$10)/12*Request!$E30*Request!H30,0),(IF(AND($S$4="Multi",$R$4="PY"),ROUND($E30*H30*((1+$M30)^2)/12*Worksheet!$E$5,0),(IF(AND($S$4&lt;&gt;"Multi",$R$4="FY"),ROUND(((1+$S$4)^(Worksheet!$B$20+1)*Worksheet!$E$9+(1+$S$4)^(Worksheet!$B$20+2)*Worksheet!$E$10)/12*Request!$E30*Request!H30,0),ROUND($E30*H30*((1+$S$4)^2)/12*Worksheet!$E$5,0))))))),(IF(AND($S$4="Multi",$R$4="FY"),ROUND(((1+$M30)^(Worksheet!$B$20+2)*Worksheet!$E$9+(1+$M30)^(Worksheet!$B$20+3)*Worksheet!$E$10)/12*Request!$E30*Request!H30,0),(IF(AND($S$4="Multi",$R$4="PY"),ROUND($E30*H30*((1+$M30)^2)/12*Worksheet!$E$5,0),(IF(AND($S$4&lt;&gt;"Multi",$R$4="FY"),ROUND(((1+$S$4)^(Worksheet!$B$20+2)*Worksheet!$E$9+(1+$S$4)^(Worksheet!$B$20+3)*Worksheet!$E$10)/12*Request!$E30*Request!H30,0),ROUND($E30*H30*((1+$S$4)^2)/12*Worksheet!$E$5,0))))))))</f>
        <v>0</v>
      </c>
      <c r="Q30" s="182">
        <f>IF(Worksheet!$C$4=Worksheet!$D$4,(IF(AND($S$4="Multi",$R$4="FY"),ROUND(((1+$M30)^(Worksheet!$B$20+2)*Worksheet!$F$9+(1+$M30)^(Worksheet!$B$20+3)*Worksheet!$F$10)/12*Request!$E30*Request!$I30,0),(IF(AND($S$4="Multi",$R$4="PY"),ROUND($E30*$I30*((1+$M30)^3)/12*Worksheet!$F$5,0),(IF(AND($S$4&lt;&gt;"Multi",$R$4="FY"),ROUND(((1+$S$4)^(Worksheet!$B$20+2)*Worksheet!$F$9+(1+$S$4)^(Worksheet!$B$20+3)*Worksheet!$F$10)/12*Request!$E30*Request!$I30,0),ROUND($E30*$I30*((1+$S$4)^3)/12*Worksheet!$F$5,0))))))),(IF(AND($S$4="Multi",$R$4="FY"),ROUND(((1+$M30)^(Worksheet!$B$20+3)*Worksheet!$F$9+(1+$M30)^(Worksheet!$B$20+4)*Worksheet!$F$10)/12*Request!$E30*Request!$I30,0),(IF(AND($S$4="Multi",$R$4="PY"),ROUND($E30*$I30*((1+$M30)^3)/12*Worksheet!$F$5,0),(IF(AND($S$4&lt;&gt;"Multi",$R$4="FY"),ROUND(((1+$S$4)^(Worksheet!$B$20+3)*Worksheet!$F$9+(1+$S$4)^(Worksheet!$B$20+4)*Worksheet!$F$10)/12*Request!$E30*Request!$I30,0),ROUND($E30*$I30*((1+$S$4)^3)/12*Worksheet!$F$5,0))))))))</f>
        <v>0</v>
      </c>
      <c r="R30" s="182">
        <f>IF(Worksheet!$C$4=Worksheet!$D$4,(IF(AND($S$4="Multi",$R$4="FY"),ROUND(((1+$M30)^(Worksheet!$B$20+3)*Worksheet!$G$9+(1+$M30)^(Worksheet!$B$20+4)*Worksheet!$G$10)/12*Request!$E30*Request!$J30,0),(IF(AND($S$4="Multi",$R$4="PY"),ROUND($E30*$J30*((1+$M30)^4)/12*Worksheet!$G$5,0),(IF(AND($S$4&lt;&gt;"Multi",$R$4="FY"),ROUND(((1+$S$4)^(Worksheet!$B$20+3)*Worksheet!$G$9+(1+$S$4)^(Worksheet!$B$20+4)*Worksheet!$G$10)/12*Request!$E30*Request!$J30,0),ROUND($E30*$J30*((1+$S$4)^4)/12*Worksheet!$G$5,0))))))),(IF(AND($S$4="Multi",$R$4="FY"),ROUND(((1+$M30)^(Worksheet!$B$20+4)*Worksheet!$G$9+(1+$M30)^(Worksheet!$B$20+5)*Worksheet!$G$10)/12*Request!$E30*Request!$J30,0),(IF(AND($S$4="Multi",$R$4="PY"),ROUND($E30*$J30*((1+$M30)^4)/12*Worksheet!$G$5,0),(IF(AND($S$4&lt;&gt;"Multi",$R$4="FY"),ROUND(((1+$S$4)^(Worksheet!$B$20+4)*Worksheet!$G$9+(1+$S$4)^(Worksheet!$B$20+5)*Worksheet!$G$10)/12*Request!$E30*Request!$J30,0),ROUND($E30*$J30*((1+$S$4)^4)/12*Worksheet!$G$5,0))))))))</f>
        <v>0</v>
      </c>
      <c r="S30" s="145">
        <f t="shared" si="3"/>
        <v>0</v>
      </c>
      <c r="T30" s="191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</row>
    <row r="31" spans="1:41" ht="11.45" hidden="1" x14ac:dyDescent="0.2">
      <c r="A31" s="149">
        <v>24</v>
      </c>
      <c r="B31" s="150"/>
      <c r="C31" s="150"/>
      <c r="D31" s="151"/>
      <c r="E31" s="152"/>
      <c r="F31" s="173"/>
      <c r="G31" s="173"/>
      <c r="H31" s="173"/>
      <c r="I31" s="173"/>
      <c r="J31" s="173"/>
      <c r="K31" s="147" t="s">
        <v>165</v>
      </c>
      <c r="L31" s="147">
        <v>12</v>
      </c>
      <c r="M31" s="148">
        <v>0.03</v>
      </c>
      <c r="N31" s="182">
        <f>IF(AND($S$4="Multi",$R$4="FY"),ROUND(((1+$M31)^Worksheet!$B$20*Worksheet!$C$9+(1+$M31)^(Worksheet!$B$20+1)*Worksheet!$C$10)/12*Request!$E31*Request!$F31,0),(IF(AND($S$4="Multi",$R$4="PY"),ROUND(E31*F31/12*Worksheet!$C$5,0),(IF(AND($S$4&lt;&gt;"Multi",$R$4="FY"),ROUND(((1+$S$4)^Worksheet!$B$20*Worksheet!$C$9+(1+$S$4)^(Worksheet!$B$20+1)*Worksheet!$C$10)/12*Request!$E31*Request!$F31,0),ROUND($E31*$F31/12*Worksheet!$C$5,0))))))</f>
        <v>0</v>
      </c>
      <c r="O31" s="182">
        <f>IF(Worksheet!$C$4=Worksheet!$D$4,(IF(AND($S$4="Multi",$R$4="FY"),ROUND(((1+$M31)^(Worksheet!$B$20)*Worksheet!$D$9+(1+$M31)^(Worksheet!$B$20+1)*Worksheet!$D$10)/12*Request!$E31*Request!$G31,0),(IF(AND($S$4="Multi",$R$4="PY"),ROUND($E31*$G31*(1+M31)/12*Worksheet!$D$5,0),(IF(AND($S$4&lt;&gt;"Multi",$R$4="FY"),ROUND(((1+$S$4)^(Worksheet!$B$20)*Worksheet!$D$9+(1+$S$4)^(Worksheet!$B$20+1)*Worksheet!$D$10)/12*Request!$E31*Request!$G31,0),ROUND($E31*$G31*(1+$S$4)/12*Worksheet!$D$5,0))))))),(IF(AND($S$4="Multi",$R$4="FY"),ROUND(((1+$M31)^(Worksheet!$B$20+1)*Worksheet!$D$9+(1+$M31)^(Worksheet!$B$20+2)*Worksheet!$D$10)/12*Request!$E31*Request!$G31,0),(IF(AND($S$4="Multi",$R$4="PY"),ROUND($E31*$G31*(1+M31)/12*Worksheet!$D$5,0),(IF(AND($S$4&lt;&gt;"Multi",$R$4="FY"),ROUND(((1+$S$4)^(Worksheet!$B$20+1)*Worksheet!$D$9+(1+$S$4)^(Worksheet!$B$20+2)*Worksheet!$D$10)/12*Request!$E31*Request!$G31,0),ROUND($E31*$G31*(1+$S$4)/12*Worksheet!$D$5,0))))))))</f>
        <v>0</v>
      </c>
      <c r="P31" s="182">
        <f>IF(Worksheet!$C$4=Worksheet!$D$4,(IF(AND($S$4="Multi",$R$4="FY"),ROUND(((1+$M31)^(Worksheet!$B$20+1)*Worksheet!$E$9+(1+$M31)^(Worksheet!$B$20+2)*Worksheet!$E$10)/12*Request!$E31*Request!H31,0),(IF(AND($S$4="Multi",$R$4="PY"),ROUND($E31*H31*((1+$M31)^2)/12*Worksheet!$E$5,0),(IF(AND($S$4&lt;&gt;"Multi",$R$4="FY"),ROUND(((1+$S$4)^(Worksheet!$B$20+1)*Worksheet!$E$9+(1+$S$4)^(Worksheet!$B$20+2)*Worksheet!$E$10)/12*Request!$E31*Request!H31,0),ROUND($E31*H31*((1+$S$4)^2)/12*Worksheet!$E$5,0))))))),(IF(AND($S$4="Multi",$R$4="FY"),ROUND(((1+$M31)^(Worksheet!$B$20+2)*Worksheet!$E$9+(1+$M31)^(Worksheet!$B$20+3)*Worksheet!$E$10)/12*Request!$E31*Request!H31,0),(IF(AND($S$4="Multi",$R$4="PY"),ROUND($E31*H31*((1+$M31)^2)/12*Worksheet!$E$5,0),(IF(AND($S$4&lt;&gt;"Multi",$R$4="FY"),ROUND(((1+$S$4)^(Worksheet!$B$20+2)*Worksheet!$E$9+(1+$S$4)^(Worksheet!$B$20+3)*Worksheet!$E$10)/12*Request!$E31*Request!H31,0),ROUND($E31*H31*((1+$S$4)^2)/12*Worksheet!$E$5,0))))))))</f>
        <v>0</v>
      </c>
      <c r="Q31" s="182">
        <f>IF(Worksheet!$C$4=Worksheet!$D$4,(IF(AND($S$4="Multi",$R$4="FY"),ROUND(((1+$M31)^(Worksheet!$B$20+2)*Worksheet!$F$9+(1+$M31)^(Worksheet!$B$20+3)*Worksheet!$F$10)/12*Request!$E31*Request!$I31,0),(IF(AND($S$4="Multi",$R$4="PY"),ROUND($E31*$I31*((1+$M31)^3)/12*Worksheet!$F$5,0),(IF(AND($S$4&lt;&gt;"Multi",$R$4="FY"),ROUND(((1+$S$4)^(Worksheet!$B$20+2)*Worksheet!$F$9+(1+$S$4)^(Worksheet!$B$20+3)*Worksheet!$F$10)/12*Request!$E31*Request!$I31,0),ROUND($E31*$I31*((1+$S$4)^3)/12*Worksheet!$F$5,0))))))),(IF(AND($S$4="Multi",$R$4="FY"),ROUND(((1+$M31)^(Worksheet!$B$20+3)*Worksheet!$F$9+(1+$M31)^(Worksheet!$B$20+4)*Worksheet!$F$10)/12*Request!$E31*Request!$I31,0),(IF(AND($S$4="Multi",$R$4="PY"),ROUND($E31*$I31*((1+$M31)^3)/12*Worksheet!$F$5,0),(IF(AND($S$4&lt;&gt;"Multi",$R$4="FY"),ROUND(((1+$S$4)^(Worksheet!$B$20+3)*Worksheet!$F$9+(1+$S$4)^(Worksheet!$B$20+4)*Worksheet!$F$10)/12*Request!$E31*Request!$I31,0),ROUND($E31*$I31*((1+$S$4)^3)/12*Worksheet!$F$5,0))))))))</f>
        <v>0</v>
      </c>
      <c r="R31" s="182">
        <f>IF(Worksheet!$C$4=Worksheet!$D$4,(IF(AND($S$4="Multi",$R$4="FY"),ROUND(((1+$M31)^(Worksheet!$B$20+3)*Worksheet!$G$9+(1+$M31)^(Worksheet!$B$20+4)*Worksheet!$G$10)/12*Request!$E31*Request!$J31,0),(IF(AND($S$4="Multi",$R$4="PY"),ROUND($E31*$J31*((1+$M31)^4)/12*Worksheet!$G$5,0),(IF(AND($S$4&lt;&gt;"Multi",$R$4="FY"),ROUND(((1+$S$4)^(Worksheet!$B$20+3)*Worksheet!$G$9+(1+$S$4)^(Worksheet!$B$20+4)*Worksheet!$G$10)/12*Request!$E31*Request!$J31,0),ROUND($E31*$J31*((1+$S$4)^4)/12*Worksheet!$G$5,0))))))),(IF(AND($S$4="Multi",$R$4="FY"),ROUND(((1+$M31)^(Worksheet!$B$20+4)*Worksheet!$G$9+(1+$M31)^(Worksheet!$B$20+5)*Worksheet!$G$10)/12*Request!$E31*Request!$J31,0),(IF(AND($S$4="Multi",$R$4="PY"),ROUND($E31*$J31*((1+$M31)^4)/12*Worksheet!$G$5,0),(IF(AND($S$4&lt;&gt;"Multi",$R$4="FY"),ROUND(((1+$S$4)^(Worksheet!$B$20+4)*Worksheet!$G$9+(1+$S$4)^(Worksheet!$B$20+5)*Worksheet!$G$10)/12*Request!$E31*Request!$J31,0),ROUND($E31*$J31*((1+$S$4)^4)/12*Worksheet!$G$5,0))))))))</f>
        <v>0</v>
      </c>
      <c r="S31" s="145">
        <f t="shared" si="3"/>
        <v>0</v>
      </c>
      <c r="T31" s="191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</row>
    <row r="32" spans="1:41" ht="11.45" x14ac:dyDescent="0.2">
      <c r="A32" s="328" t="s">
        <v>5</v>
      </c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30"/>
      <c r="N32" s="146">
        <f>SUM(N8:N15)</f>
        <v>26980</v>
      </c>
      <c r="O32" s="146">
        <f t="shared" ref="O32:S32" si="4">SUM(O8:O31)</f>
        <v>0</v>
      </c>
      <c r="P32" s="146">
        <f t="shared" si="4"/>
        <v>0</v>
      </c>
      <c r="Q32" s="146">
        <f t="shared" si="4"/>
        <v>0</v>
      </c>
      <c r="R32" s="146">
        <f t="shared" si="4"/>
        <v>0</v>
      </c>
      <c r="S32" s="146">
        <f t="shared" si="4"/>
        <v>26980</v>
      </c>
      <c r="T32" s="193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</row>
    <row r="33" spans="1:41" ht="9" customHeight="1" x14ac:dyDescent="0.2">
      <c r="A33" s="51"/>
      <c r="B33" s="51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  <c r="O33" s="53"/>
      <c r="P33" s="53"/>
      <c r="Q33" s="53"/>
      <c r="R33" s="53"/>
      <c r="S33" s="53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</row>
    <row r="34" spans="1:41" ht="11.45" x14ac:dyDescent="0.2">
      <c r="A34" s="336" t="s">
        <v>16</v>
      </c>
      <c r="B34" s="337"/>
      <c r="C34" s="338"/>
      <c r="D34" s="208"/>
      <c r="E34" s="97" t="s">
        <v>17</v>
      </c>
      <c r="F34" s="331" t="s">
        <v>17</v>
      </c>
      <c r="G34" s="332"/>
      <c r="H34" s="331" t="s">
        <v>17</v>
      </c>
      <c r="I34" s="332"/>
      <c r="J34" s="331" t="s">
        <v>17</v>
      </c>
      <c r="K34" s="332"/>
      <c r="L34" s="331" t="s">
        <v>17</v>
      </c>
      <c r="M34" s="332"/>
      <c r="N34" s="50" t="str">
        <f>N5</f>
        <v>Period 1</v>
      </c>
      <c r="O34" s="50" t="str">
        <f>O5</f>
        <v>Period 2</v>
      </c>
      <c r="P34" s="50" t="str">
        <f>P5</f>
        <v>Period 3</v>
      </c>
      <c r="Q34" s="50" t="str">
        <f>Q5</f>
        <v>Period 4</v>
      </c>
      <c r="R34" s="50" t="str">
        <f>R5</f>
        <v>Period 5</v>
      </c>
      <c r="S34" s="50" t="s">
        <v>12</v>
      </c>
      <c r="T34" s="184"/>
      <c r="U34" s="213" t="s">
        <v>193</v>
      </c>
      <c r="V34" s="213"/>
      <c r="W34" s="213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</row>
    <row r="35" spans="1:41" ht="11.45" x14ac:dyDescent="0.2">
      <c r="A35" s="91">
        <v>1</v>
      </c>
      <c r="B35" s="247" t="str">
        <f>B8</f>
        <v xml:space="preserve">PI #1 </v>
      </c>
      <c r="C35" s="248"/>
      <c r="D35" s="212"/>
      <c r="E35" s="211">
        <v>26.1</v>
      </c>
      <c r="F35" s="243"/>
      <c r="G35" s="244"/>
      <c r="H35" s="243">
        <v>26.1</v>
      </c>
      <c r="I35" s="244">
        <v>26.1</v>
      </c>
      <c r="J35" s="325"/>
      <c r="K35" s="326"/>
      <c r="L35" s="274"/>
      <c r="M35" s="275"/>
      <c r="N35" s="200">
        <f>N8*E35/100</f>
        <v>2474.2800000000002</v>
      </c>
      <c r="O35" s="200">
        <f t="shared" ref="N35:O40" si="5">O8*F35/100</f>
        <v>0</v>
      </c>
      <c r="P35" s="200">
        <f>P8*H35/100</f>
        <v>0</v>
      </c>
      <c r="Q35" s="182">
        <f>IF(Q8=0,0,IF(AND(#REF!="F-SMRA",Q8=0),0,IF(AND(#REF!="F-SMRB",Q8=0),0,IF(AND(#REF!="F-SMRC",Q8=0),0,IF(#REF!=Worksheet!$A$68,Worksheet!H301,IF(#REF!=Worksheet!$A$69,Worksheet!H301,IF(#REF!=Worksheet!$A$70,Worksheet!H301,ROUND((Request!Q8/Worksheet!$F$5*Worksheet!$F$9*(IF(Request!#REF!=Worksheet!$A$47,Worksheet!H$47,IF(Request!#REF!=Worksheet!$A$48,Worksheet!H$48,IF(Request!#REF!=Worksheet!$A$49,Worksheet!H$49,IF(Request!#REF!=Worksheet!$A$50,Worksheet!H$50,IF(Request!#REF!=Worksheet!$A$51,Worksheet!H$51,IF(Request!#REF!=Worksheet!$A$52,Worksheet!H$52,IF(Request!#REF!=Worksheet!$A$53,Worksheet!H$53,IF(Request!#REF!=Worksheet!$A$54,Worksheet!H$54,IF(Request!#REF!=Worksheet!$A$55,Worksheet!H$55))))))))))),0)+ROUND(Q8/Worksheet!$F$5*Worksheet!$F$10*(IF(Request!#REF!=Worksheet!$A$47,Worksheet!I$47,IF(Request!#REF!=Worksheet!$A$48,Worksheet!I$48,IF(Request!#REF!=Worksheet!$A$49,Worksheet!I$49,IF(Request!#REF!=Worksheet!$A$50,Worksheet!I$50,IF(Request!#REF!=Worksheet!$A$51,Worksheet!I$51,IF(Request!#REF!=Worksheet!$A$52,Worksheet!I$52,IF(Request!#REF!=Worksheet!$A$53,Worksheet!I$53,IF(Request!#REF!=Worksheet!$A$54,Worksheet!I$54,IF(Request!#REF!=Worksheet!$A$55,Worksheet!I$55)))))))))),0))))))))</f>
        <v>0</v>
      </c>
      <c r="R35" s="182">
        <f>IF(R8=0,0,IF(AND(#REF!="F-SMRA",R8=0),0,IF(AND(#REF!="F-SMRB",R8=0),0,IF(AND(#REF!="F-SMRC",R8=0),0,IF(#REF!=Worksheet!$A$68,Worksheet!J301,IF(#REF!=Worksheet!$A$69,Worksheet!J301,IF(#REF!=Worksheet!$A$70,Worksheet!J301,ROUND((Request!R8/Worksheet!$G$5*Worksheet!$G$9*(IF(Request!#REF!=Worksheet!$A$47,Worksheet!J$47,IF(Request!#REF!=Worksheet!$A$48,Worksheet!J$48,IF(Request!#REF!=Worksheet!$A$49,Worksheet!J$49,IF(Request!#REF!=Worksheet!$A$50,Worksheet!J$50,IF(Request!#REF!=Worksheet!$A$51,Worksheet!J$51,IF(Request!#REF!=Worksheet!$A$52,Worksheet!J$52,IF(Request!#REF!=Worksheet!$A$53,Worksheet!J$53,IF(Request!#REF!=Worksheet!$A$54,Worksheet!J$54,IF(Request!#REF!=Worksheet!$A$55,Worksheet!J$55))))))))))),0)+ROUND(R8/Worksheet!$G$5*Worksheet!$G$10*(IF(Request!#REF!=Worksheet!$A$47,Worksheet!K$47,IF(Request!#REF!=Worksheet!$A$48,Worksheet!K$48,IF(Request!#REF!=Worksheet!$A$49,Worksheet!K$49,IF(Request!#REF!=Worksheet!$A$50,Worksheet!K$50,IF(Request!#REF!=Worksheet!$A$51,Worksheet!K$51,IF(Request!#REF!=Worksheet!$A$52,Worksheet!K$52,IF(Request!#REF!=Worksheet!$A$53,Worksheet!K$53,IF(Request!#REF!=Worksheet!$A$54,Worksheet!K$54,IF(Request!#REF!=Worksheet!$A$55,Worksheet!K$55)))))))))),0))))))))</f>
        <v>0</v>
      </c>
      <c r="S35" s="144">
        <f>SUM(N35:R35)</f>
        <v>2474.2800000000002</v>
      </c>
      <c r="T35" s="192"/>
      <c r="U35" s="184" t="s">
        <v>194</v>
      </c>
      <c r="V35" s="210">
        <v>0.26100000000000001</v>
      </c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</row>
    <row r="36" spans="1:41" ht="12" customHeight="1" x14ac:dyDescent="0.2">
      <c r="A36" s="91">
        <v>2</v>
      </c>
      <c r="B36" s="247" t="str">
        <f t="shared" ref="B36:B40" si="6">B9</f>
        <v>PI #2</v>
      </c>
      <c r="C36" s="248"/>
      <c r="D36" s="212"/>
      <c r="E36" s="174">
        <v>26.1</v>
      </c>
      <c r="F36" s="243"/>
      <c r="G36" s="244"/>
      <c r="H36" s="243">
        <v>34.1</v>
      </c>
      <c r="I36" s="244">
        <v>34.1</v>
      </c>
      <c r="J36" s="325"/>
      <c r="K36" s="326"/>
      <c r="L36" s="274"/>
      <c r="M36" s="275"/>
      <c r="N36" s="200">
        <f t="shared" si="5"/>
        <v>978.75</v>
      </c>
      <c r="O36" s="200">
        <f t="shared" si="5"/>
        <v>0</v>
      </c>
      <c r="P36" s="200">
        <f>P9*H36/100</f>
        <v>0</v>
      </c>
      <c r="Q36" s="182">
        <f>IF(Q9=0,0,IF(AND(#REF!="F-SMRA",Q9=0),0,IF(AND(#REF!="F-SMRB",Q9=0),0,IF(AND(#REF!="F-SMRC",Q9=0),0,IF(#REF!=Worksheet!$A$68,Worksheet!H302,IF(#REF!=Worksheet!$A$69,Worksheet!H302,IF(#REF!=Worksheet!$A$70,Worksheet!H302,ROUND((Request!Q9/Worksheet!$F$5*Worksheet!$F$9*(IF(Request!#REF!=Worksheet!$A$47,Worksheet!H$47,IF(Request!#REF!=Worksheet!$A$48,Worksheet!H$48,IF(Request!#REF!=Worksheet!$A$49,Worksheet!H$49,IF(Request!#REF!=Worksheet!$A$50,Worksheet!H$50,IF(Request!#REF!=Worksheet!$A$51,Worksheet!H$51,IF(Request!#REF!=Worksheet!$A$52,Worksheet!H$52,IF(Request!#REF!=Worksheet!$A$53,Worksheet!H$53,IF(Request!#REF!=Worksheet!$A$54,Worksheet!H$54,IF(Request!#REF!=Worksheet!$A$55,Worksheet!H$55))))))))))),0)+ROUND(Q9/Worksheet!$F$5*Worksheet!$F$10*(IF(Request!#REF!=Worksheet!$A$47,Worksheet!I$47,IF(Request!#REF!=Worksheet!$A$48,Worksheet!I$48,IF(Request!#REF!=Worksheet!$A$49,Worksheet!I$49,IF(Request!#REF!=Worksheet!$A$50,Worksheet!I$50,IF(Request!#REF!=Worksheet!$A$51,Worksheet!I$51,IF(Request!#REF!=Worksheet!$A$52,Worksheet!I$52,IF(Request!#REF!=Worksheet!$A$53,Worksheet!I$53,IF(Request!#REF!=Worksheet!$A$54,Worksheet!I$54,IF(Request!#REF!=Worksheet!$A$55,Worksheet!I$55)))))))))),0))))))))</f>
        <v>0</v>
      </c>
      <c r="R36" s="182">
        <f>IF(R9=0,0,IF(AND(#REF!="F-SMRA",R9=0),0,IF(AND(#REF!="F-SMRB",R9=0),0,IF(AND(#REF!="F-SMRC",R9=0),0,IF(#REF!=Worksheet!$A$68,Worksheet!J302,IF(#REF!=Worksheet!$A$69,Worksheet!J302,IF(#REF!=Worksheet!$A$70,Worksheet!J302,ROUND((Request!R9/Worksheet!$G$5*Worksheet!$G$9*(IF(Request!#REF!=Worksheet!$A$47,Worksheet!J$47,IF(Request!#REF!=Worksheet!$A$48,Worksheet!J$48,IF(Request!#REF!=Worksheet!$A$49,Worksheet!J$49,IF(Request!#REF!=Worksheet!$A$50,Worksheet!J$50,IF(Request!#REF!=Worksheet!$A$51,Worksheet!J$51,IF(Request!#REF!=Worksheet!$A$52,Worksheet!J$52,IF(Request!#REF!=Worksheet!$A$53,Worksheet!J$53,IF(Request!#REF!=Worksheet!$A$54,Worksheet!J$54,IF(Request!#REF!=Worksheet!$A$55,Worksheet!J$55))))))))))),0)+ROUND(R9/Worksheet!$G$5*Worksheet!$G$10*(IF(Request!#REF!=Worksheet!$A$47,Worksheet!K$47,IF(Request!#REF!=Worksheet!$A$48,Worksheet!K$48,IF(Request!#REF!=Worksheet!$A$49,Worksheet!K$49,IF(Request!#REF!=Worksheet!$A$50,Worksheet!K$50,IF(Request!#REF!=Worksheet!$A$51,Worksheet!K$51,IF(Request!#REF!=Worksheet!$A$52,Worksheet!K$52,IF(Request!#REF!=Worksheet!$A$53,Worksheet!K$53,IF(Request!#REF!=Worksheet!$A$54,Worksheet!K$54,IF(Request!#REF!=Worksheet!$A$55,Worksheet!K$55)))))))))),0))))))))</f>
        <v>0</v>
      </c>
      <c r="S36" s="144">
        <f t="shared" ref="S36:S58" si="7">SUM(N36:R36)</f>
        <v>978.75</v>
      </c>
      <c r="T36" s="192"/>
      <c r="U36" s="184" t="s">
        <v>195</v>
      </c>
      <c r="V36" s="210">
        <v>0.34100000000000003</v>
      </c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</row>
    <row r="37" spans="1:41" ht="12" customHeight="1" x14ac:dyDescent="0.2">
      <c r="A37" s="91">
        <v>3</v>
      </c>
      <c r="B37" s="247" t="str">
        <f t="shared" si="6"/>
        <v>TBN</v>
      </c>
      <c r="C37" s="248"/>
      <c r="D37" s="212"/>
      <c r="E37" s="174">
        <v>40.5</v>
      </c>
      <c r="F37" s="243"/>
      <c r="G37" s="244"/>
      <c r="H37" s="243">
        <v>40.5</v>
      </c>
      <c r="I37" s="244">
        <v>40.5</v>
      </c>
      <c r="J37" s="325"/>
      <c r="K37" s="326"/>
      <c r="L37" s="274"/>
      <c r="M37" s="275"/>
      <c r="N37" s="200">
        <f t="shared" si="5"/>
        <v>5062.5</v>
      </c>
      <c r="O37" s="200">
        <f t="shared" si="5"/>
        <v>0</v>
      </c>
      <c r="P37" s="200">
        <f>P10*H37/100</f>
        <v>0</v>
      </c>
      <c r="Q37" s="182">
        <f>IF(Q10=0,0,IF(AND(#REF!="F-SMRA",Q10=0),0,IF(AND(#REF!="F-SMRB",Q10=0),0,IF(AND(#REF!="F-SMRC",Q10=0),0,IF(#REF!=Worksheet!$A$68,Worksheet!H303,IF(#REF!=Worksheet!$A$69,Worksheet!H303,IF(#REF!=Worksheet!$A$70,Worksheet!H303,ROUND((Request!Q10/Worksheet!$F$5*Worksheet!$F$9*(IF(Request!#REF!=Worksheet!$A$47,Worksheet!H$47,IF(Request!#REF!=Worksheet!$A$48,Worksheet!H$48,IF(Request!#REF!=Worksheet!$A$49,Worksheet!H$49,IF(Request!#REF!=Worksheet!$A$50,Worksheet!H$50,IF(Request!#REF!=Worksheet!$A$51,Worksheet!H$51,IF(Request!#REF!=Worksheet!$A$52,Worksheet!H$52,IF(Request!#REF!=Worksheet!$A$53,Worksheet!H$53,IF(Request!#REF!=Worksheet!$A$54,Worksheet!H$54,IF(Request!#REF!=Worksheet!$A$55,Worksheet!H$55))))))))))),0)+ROUND(Q10/Worksheet!$F$5*Worksheet!$F$10*(IF(Request!#REF!=Worksheet!$A$47,Worksheet!I$47,IF(Request!#REF!=Worksheet!$A$48,Worksheet!I$48,IF(Request!#REF!=Worksheet!$A$49,Worksheet!I$49,IF(Request!#REF!=Worksheet!$A$50,Worksheet!I$50,IF(Request!#REF!=Worksheet!$A$51,Worksheet!I$51,IF(Request!#REF!=Worksheet!$A$52,Worksheet!I$52,IF(Request!#REF!=Worksheet!$A$53,Worksheet!I$53,IF(Request!#REF!=Worksheet!$A$54,Worksheet!I$54,IF(Request!#REF!=Worksheet!$A$55,Worksheet!I$55)))))))))),0))))))))</f>
        <v>0</v>
      </c>
      <c r="R37" s="182">
        <f>IF(R10=0,0,IF(AND(#REF!="F-SMRA",R10=0),0,IF(AND(#REF!="F-SMRB",R10=0),0,IF(AND(#REF!="F-SMRC",R10=0),0,IF(#REF!=Worksheet!$A$68,Worksheet!J303,IF(#REF!=Worksheet!$A$69,Worksheet!J303,IF(#REF!=Worksheet!$A$70,Worksheet!J303,ROUND((Request!R10/Worksheet!$G$5*Worksheet!$G$9*(IF(Request!#REF!=Worksheet!$A$47,Worksheet!J$47,IF(Request!#REF!=Worksheet!$A$48,Worksheet!J$48,IF(Request!#REF!=Worksheet!$A$49,Worksheet!J$49,IF(Request!#REF!=Worksheet!$A$50,Worksheet!J$50,IF(Request!#REF!=Worksheet!$A$51,Worksheet!J$51,IF(Request!#REF!=Worksheet!$A$52,Worksheet!J$52,IF(Request!#REF!=Worksheet!$A$53,Worksheet!J$53,IF(Request!#REF!=Worksheet!$A$54,Worksheet!J$54,IF(Request!#REF!=Worksheet!$A$55,Worksheet!J$55))))))))))),0)+ROUND(R10/Worksheet!$G$5*Worksheet!$G$10*(IF(Request!#REF!=Worksheet!$A$47,Worksheet!K$47,IF(Request!#REF!=Worksheet!$A$48,Worksheet!K$48,IF(Request!#REF!=Worksheet!$A$49,Worksheet!K$49,IF(Request!#REF!=Worksheet!$A$50,Worksheet!K$50,IF(Request!#REF!=Worksheet!$A$51,Worksheet!K$51,IF(Request!#REF!=Worksheet!$A$52,Worksheet!K$52,IF(Request!#REF!=Worksheet!$A$53,Worksheet!K$53,IF(Request!#REF!=Worksheet!$A$54,Worksheet!K$54,IF(Request!#REF!=Worksheet!$A$55,Worksheet!K$55)))))))))),0))))))))</f>
        <v>0</v>
      </c>
      <c r="S37" s="144">
        <f t="shared" si="7"/>
        <v>5062.5</v>
      </c>
      <c r="T37" s="192"/>
      <c r="U37" s="184" t="s">
        <v>196</v>
      </c>
      <c r="V37" s="210">
        <v>0.40500000000000003</v>
      </c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</row>
    <row r="38" spans="1:41" ht="12" customHeight="1" x14ac:dyDescent="0.2">
      <c r="A38" s="91">
        <v>4</v>
      </c>
      <c r="B38" s="247" t="str">
        <f t="shared" si="6"/>
        <v>TBN</v>
      </c>
      <c r="C38" s="248"/>
      <c r="D38" s="212"/>
      <c r="E38" s="203">
        <v>34.1</v>
      </c>
      <c r="F38" s="243"/>
      <c r="G38" s="244"/>
      <c r="H38" s="243">
        <v>24.9</v>
      </c>
      <c r="I38" s="244"/>
      <c r="J38" s="325"/>
      <c r="K38" s="326"/>
      <c r="L38" s="274"/>
      <c r="M38" s="275"/>
      <c r="N38" s="200">
        <f t="shared" si="5"/>
        <v>426.25</v>
      </c>
      <c r="O38" s="200">
        <f t="shared" si="5"/>
        <v>0</v>
      </c>
      <c r="P38" s="200">
        <f>P11*H38/100</f>
        <v>0</v>
      </c>
      <c r="Q38" s="182">
        <f>IF(Q11=0,0,IF(AND(#REF!="F-SMRA",Q11=0),0,IF(AND(#REF!="F-SMRB",Q11=0),0,IF(AND(#REF!="F-SMRC",Q11=0),0,IF(#REF!=Worksheet!$A$68,Worksheet!H304,IF(#REF!=Worksheet!$A$69,Worksheet!H304,IF(#REF!=Worksheet!$A$70,Worksheet!H304,ROUND((Request!Q11/Worksheet!$F$5*Worksheet!$F$9*(IF(Request!#REF!=Worksheet!$A$47,Worksheet!H$47,IF(Request!#REF!=Worksheet!$A$48,Worksheet!H$48,IF(Request!#REF!=Worksheet!$A$49,Worksheet!H$49,IF(Request!#REF!=Worksheet!$A$50,Worksheet!H$50,IF(Request!#REF!=Worksheet!$A$51,Worksheet!H$51,IF(Request!#REF!=Worksheet!$A$52,Worksheet!H$52,IF(Request!#REF!=Worksheet!$A$53,Worksheet!H$53,IF(Request!#REF!=Worksheet!$A$54,Worksheet!H$54,IF(Request!#REF!=Worksheet!$A$55,Worksheet!H$55))))))))))),0)+ROUND(Q11/Worksheet!$F$5*Worksheet!$F$10*(IF(Request!#REF!=Worksheet!$A$47,Worksheet!I$47,IF(Request!#REF!=Worksheet!$A$48,Worksheet!I$48,IF(Request!#REF!=Worksheet!$A$49,Worksheet!I$49,IF(Request!#REF!=Worksheet!$A$50,Worksheet!I$50,IF(Request!#REF!=Worksheet!$A$51,Worksheet!I$51,IF(Request!#REF!=Worksheet!$A$52,Worksheet!I$52,IF(Request!#REF!=Worksheet!$A$53,Worksheet!I$53,IF(Request!#REF!=Worksheet!$A$54,Worksheet!I$54,IF(Request!#REF!=Worksheet!$A$55,Worksheet!I$55)))))))))),0))))))))</f>
        <v>0</v>
      </c>
      <c r="R38" s="182">
        <f>IF(R11=0,0,IF(AND(#REF!="F-SMRA",R11=0),0,IF(AND(#REF!="F-SMRB",R11=0),0,IF(AND(#REF!="F-SMRC",R11=0),0,IF(#REF!=Worksheet!$A$68,Worksheet!J304,IF(#REF!=Worksheet!$A$69,Worksheet!J304,IF(#REF!=Worksheet!$A$70,Worksheet!J304,ROUND((Request!R11/Worksheet!$G$5*Worksheet!$G$9*(IF(Request!#REF!=Worksheet!$A$47,Worksheet!J$47,IF(Request!#REF!=Worksheet!$A$48,Worksheet!J$48,IF(Request!#REF!=Worksheet!$A$49,Worksheet!J$49,IF(Request!#REF!=Worksheet!$A$50,Worksheet!J$50,IF(Request!#REF!=Worksheet!$A$51,Worksheet!J$51,IF(Request!#REF!=Worksheet!$A$52,Worksheet!J$52,IF(Request!#REF!=Worksheet!$A$53,Worksheet!J$53,IF(Request!#REF!=Worksheet!$A$54,Worksheet!J$54,IF(Request!#REF!=Worksheet!$A$55,Worksheet!J$55))))))))))),0)+ROUND(R11/Worksheet!$G$5*Worksheet!$G$10*(IF(Request!#REF!=Worksheet!$A$47,Worksheet!K$47,IF(Request!#REF!=Worksheet!$A$48,Worksheet!K$48,IF(Request!#REF!=Worksheet!$A$49,Worksheet!K$49,IF(Request!#REF!=Worksheet!$A$50,Worksheet!K$50,IF(Request!#REF!=Worksheet!$A$51,Worksheet!K$51,IF(Request!#REF!=Worksheet!$A$52,Worksheet!K$52,IF(Request!#REF!=Worksheet!$A$53,Worksheet!K$53,IF(Request!#REF!=Worksheet!$A$54,Worksheet!K$54,IF(Request!#REF!=Worksheet!$A$55,Worksheet!K$55)))))))))),0))))))))</f>
        <v>0</v>
      </c>
      <c r="S38" s="144">
        <f t="shared" si="7"/>
        <v>426.25</v>
      </c>
      <c r="T38" s="192"/>
      <c r="U38" s="184" t="s">
        <v>197</v>
      </c>
      <c r="V38" s="210">
        <v>0.17</v>
      </c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</row>
    <row r="39" spans="1:41" ht="12" customHeight="1" x14ac:dyDescent="0.2">
      <c r="A39" s="91">
        <v>5</v>
      </c>
      <c r="B39" s="247">
        <f t="shared" si="6"/>
        <v>0</v>
      </c>
      <c r="C39" s="248"/>
      <c r="D39" s="212"/>
      <c r="E39" s="174"/>
      <c r="F39" s="243"/>
      <c r="G39" s="244"/>
      <c r="H39" s="243">
        <v>40.1</v>
      </c>
      <c r="I39" s="244"/>
      <c r="J39" s="325"/>
      <c r="K39" s="326"/>
      <c r="L39" s="274"/>
      <c r="M39" s="275"/>
      <c r="N39" s="200">
        <f t="shared" si="5"/>
        <v>0</v>
      </c>
      <c r="O39" s="200">
        <f t="shared" si="5"/>
        <v>0</v>
      </c>
      <c r="P39" s="200">
        <f>P12*H39/100</f>
        <v>0</v>
      </c>
      <c r="Q39" s="182">
        <f>IF(Q12=0,0,IF(AND(#REF!="F-SMRA",Q12=0),0,IF(AND(#REF!="F-SMRB",Q12=0),0,IF(AND(#REF!="F-SMRC",Q12=0),0,IF(#REF!=Worksheet!$A$68,Worksheet!H305,IF(#REF!=Worksheet!$A$69,Worksheet!H305,IF(#REF!=Worksheet!$A$70,Worksheet!H305,ROUND((Request!Q12/Worksheet!$F$5*Worksheet!$F$9*(IF(Request!#REF!=Worksheet!$A$47,Worksheet!H$47,IF(Request!#REF!=Worksheet!$A$48,Worksheet!H$48,IF(Request!#REF!=Worksheet!$A$49,Worksheet!H$49,IF(Request!#REF!=Worksheet!$A$50,Worksheet!H$50,IF(Request!#REF!=Worksheet!$A$51,Worksheet!H$51,IF(Request!#REF!=Worksheet!$A$52,Worksheet!H$52,IF(Request!#REF!=Worksheet!$A$53,Worksheet!H$53,IF(Request!#REF!=Worksheet!$A$54,Worksheet!H$54,IF(Request!#REF!=Worksheet!$A$55,Worksheet!H$55))))))))))),0)+ROUND(Q12/Worksheet!$F$5*Worksheet!$F$10*(IF(Request!#REF!=Worksheet!$A$47,Worksheet!I$47,IF(Request!#REF!=Worksheet!$A$48,Worksheet!I$48,IF(Request!#REF!=Worksheet!$A$49,Worksheet!I$49,IF(Request!#REF!=Worksheet!$A$50,Worksheet!I$50,IF(Request!#REF!=Worksheet!$A$51,Worksheet!I$51,IF(Request!#REF!=Worksheet!$A$52,Worksheet!I$52,IF(Request!#REF!=Worksheet!$A$53,Worksheet!I$53,IF(Request!#REF!=Worksheet!$A$54,Worksheet!I$54,IF(Request!#REF!=Worksheet!$A$55,Worksheet!I$55)))))))))),0))))))))</f>
        <v>0</v>
      </c>
      <c r="R39" s="182">
        <f>IF(R12=0,0,IF(AND(#REF!="F-SMRA",R12=0),0,IF(AND(#REF!="F-SMRB",R12=0),0,IF(AND(#REF!="F-SMRC",R12=0),0,IF(#REF!=Worksheet!$A$68,Worksheet!J305,IF(#REF!=Worksheet!$A$69,Worksheet!J305,IF(#REF!=Worksheet!$A$70,Worksheet!J305,ROUND((Request!R12/Worksheet!$G$5*Worksheet!$G$9*(IF(Request!#REF!=Worksheet!$A$47,Worksheet!J$47,IF(Request!#REF!=Worksheet!$A$48,Worksheet!J$48,IF(Request!#REF!=Worksheet!$A$49,Worksheet!J$49,IF(Request!#REF!=Worksheet!$A$50,Worksheet!J$50,IF(Request!#REF!=Worksheet!$A$51,Worksheet!J$51,IF(Request!#REF!=Worksheet!$A$52,Worksheet!J$52,IF(Request!#REF!=Worksheet!$A$53,Worksheet!J$53,IF(Request!#REF!=Worksheet!$A$54,Worksheet!J$54,IF(Request!#REF!=Worksheet!$A$55,Worksheet!J$55))))))))))),0)+ROUND(R12/Worksheet!$G$5*Worksheet!$G$10*(IF(Request!#REF!=Worksheet!$A$47,Worksheet!K$47,IF(Request!#REF!=Worksheet!$A$48,Worksheet!K$48,IF(Request!#REF!=Worksheet!$A$49,Worksheet!K$49,IF(Request!#REF!=Worksheet!$A$50,Worksheet!K$50,IF(Request!#REF!=Worksheet!$A$51,Worksheet!K$51,IF(Request!#REF!=Worksheet!$A$52,Worksheet!K$52,IF(Request!#REF!=Worksheet!$A$53,Worksheet!K$53,IF(Request!#REF!=Worksheet!$A$54,Worksheet!K$54,IF(Request!#REF!=Worksheet!$A$55,Worksheet!K$55)))))))))),0))))))))</f>
        <v>0</v>
      </c>
      <c r="S39" s="144">
        <f t="shared" si="7"/>
        <v>0</v>
      </c>
      <c r="T39" s="192"/>
      <c r="U39" s="184" t="s">
        <v>198</v>
      </c>
      <c r="V39" s="210">
        <v>0.17299999999999999</v>
      </c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</row>
    <row r="40" spans="1:41" ht="12" customHeight="1" x14ac:dyDescent="0.2">
      <c r="A40" s="91">
        <v>6</v>
      </c>
      <c r="B40" s="247">
        <f t="shared" si="6"/>
        <v>0</v>
      </c>
      <c r="C40" s="248"/>
      <c r="D40" s="212"/>
      <c r="E40" s="174"/>
      <c r="F40" s="243"/>
      <c r="G40" s="244"/>
      <c r="H40" s="274"/>
      <c r="I40" s="275"/>
      <c r="J40" s="274"/>
      <c r="K40" s="275"/>
      <c r="L40" s="274"/>
      <c r="M40" s="275"/>
      <c r="N40" s="200">
        <f t="shared" si="5"/>
        <v>0</v>
      </c>
      <c r="O40" s="182">
        <f>IF(O13=0,0,IF(AND(#REF!="F-SMRA",O13=0),0,IF(AND(#REF!="F-SMRB",O13=0),0,IF(AND(#REF!="F-SMRC",O13=0),0,IF(#REF!=Worksheet!$A$68,Worksheet!D306,IF(#REF!=Worksheet!$A$69,Worksheet!D306,IF(#REF!=Worksheet!$A$70,Worksheet!D306,ROUND((Request!O13/Worksheet!$D$5*Worksheet!$D$9*(IF(Request!#REF!=Worksheet!$A$47,Worksheet!D$47,IF(Request!#REF!=Worksheet!$A$48,Worksheet!D$48,IF(Request!#REF!=Worksheet!$A$49,Worksheet!D$49,IF(Request!#REF!=Worksheet!$A$50,Worksheet!D$50,IF(Request!#REF!=Worksheet!$A$51,Worksheet!D$51,IF(Request!#REF!=Worksheet!$A$52,Worksheet!D$52,IF(Request!#REF!=Worksheet!$A$53,Worksheet!D$53,IF(Request!#REF!=Worksheet!$A$54,Worksheet!D$54,IF(Request!#REF!=Worksheet!$A$55,Worksheet!D$55))))))))))),0)+ROUND(O13/Worksheet!$D$5*Worksheet!$D$10*(IF(Request!#REF!=Worksheet!$A$47,Worksheet!E$47,IF(Request!#REF!=Worksheet!$A$48,Worksheet!E$48,IF(Request!#REF!=Worksheet!$A$49,Worksheet!E$49,IF(Request!#REF!=Worksheet!$A$50,Worksheet!E$50,IF(Request!#REF!=Worksheet!$A$51,Worksheet!E$51,IF(Request!#REF!=Worksheet!$A$52,Worksheet!E$52,IF(Request!#REF!=Worksheet!$A$53,Worksheet!E$53,IF(Request!#REF!=Worksheet!$A$54,Worksheet!E$54,IF(Request!#REF!=Worksheet!$A$55,Worksheet!E$55)))))))))),0))))))))</f>
        <v>0</v>
      </c>
      <c r="P40" s="182">
        <f>IF(P13=0,0,IF(AND(#REF!="F-SMRA",P13=0),0,IF(AND(#REF!="F-SMRB",P13=0),0,IF(AND(#REF!="F-SMRC",P13=0),0,IF(#REF!=Worksheet!$A$68,Worksheet!F306,IF(#REF!=Worksheet!$A$69,Worksheet!F306,IF(#REF!=Worksheet!$A$70,Worksheet!F306,ROUND((Request!P13/Worksheet!$E$5*Worksheet!$E$9*(IF(Request!#REF!=Worksheet!$A$47,Worksheet!F$47,IF(Request!#REF!=Worksheet!$A$48,Worksheet!F$48,IF(Request!#REF!=Worksheet!$A$49,Worksheet!F$49,IF(Request!#REF!=Worksheet!$A$50,Worksheet!F$50,IF(Request!#REF!=Worksheet!$A$51,Worksheet!F$51,IF(Request!#REF!=Worksheet!$A$52,Worksheet!F$52,IF(Request!#REF!=Worksheet!$A$53,Worksheet!F$53,IF(Request!#REF!=Worksheet!$A$54,Worksheet!F$54,IF(Request!#REF!=Worksheet!$A$55,Worksheet!F$55))))))))))),0)+ROUND(P13/Worksheet!$E$5*Worksheet!$E$10*(IF(Request!#REF!=Worksheet!$A$47,Worksheet!G$47,IF(Request!#REF!=Worksheet!$A$48,Worksheet!G$48,IF(Request!#REF!=Worksheet!$A$49,Worksheet!G$49,IF(Request!#REF!=Worksheet!$A$50,Worksheet!G$50,IF(Request!#REF!=Worksheet!$A$51,Worksheet!G$51,IF(Request!#REF!=Worksheet!$A$52,Worksheet!G$52,IF(Request!#REF!=Worksheet!$A$53,Worksheet!G$53,IF(Request!#REF!=Worksheet!$A$54,Worksheet!G$54,IF(Request!#REF!=Worksheet!$A$55,Worksheet!G$55)))))))))),0))))))))</f>
        <v>0</v>
      </c>
      <c r="Q40" s="182">
        <f>IF(Q13=0,0,IF(AND(#REF!="F-SMRA",Q13=0),0,IF(AND(#REF!="F-SMRB",Q13=0),0,IF(AND(#REF!="F-SMRC",Q13=0),0,IF(#REF!=Worksheet!$A$68,Worksheet!H306,IF(#REF!=Worksheet!$A$69,Worksheet!H306,IF(#REF!=Worksheet!$A$70,Worksheet!H306,ROUND((Request!Q13/Worksheet!$F$5*Worksheet!$F$9*(IF(Request!#REF!=Worksheet!$A$47,Worksheet!H$47,IF(Request!#REF!=Worksheet!$A$48,Worksheet!H$48,IF(Request!#REF!=Worksheet!$A$49,Worksheet!H$49,IF(Request!#REF!=Worksheet!$A$50,Worksheet!H$50,IF(Request!#REF!=Worksheet!$A$51,Worksheet!H$51,IF(Request!#REF!=Worksheet!$A$52,Worksheet!H$52,IF(Request!#REF!=Worksheet!$A$53,Worksheet!H$53,IF(Request!#REF!=Worksheet!$A$54,Worksheet!H$54,IF(Request!#REF!=Worksheet!$A$55,Worksheet!H$55))))))))))),0)+ROUND(Q13/Worksheet!$F$5*Worksheet!$F$10*(IF(Request!#REF!=Worksheet!$A$47,Worksheet!I$47,IF(Request!#REF!=Worksheet!$A$48,Worksheet!I$48,IF(Request!#REF!=Worksheet!$A$49,Worksheet!I$49,IF(Request!#REF!=Worksheet!$A$50,Worksheet!I$50,IF(Request!#REF!=Worksheet!$A$51,Worksheet!I$51,IF(Request!#REF!=Worksheet!$A$52,Worksheet!I$52,IF(Request!#REF!=Worksheet!$A$53,Worksheet!I$53,IF(Request!#REF!=Worksheet!$A$54,Worksheet!I$54,IF(Request!#REF!=Worksheet!$A$55,Worksheet!I$55)))))))))),0))))))))</f>
        <v>0</v>
      </c>
      <c r="R40" s="182">
        <f>IF(R13=0,0,IF(AND(#REF!="F-SMRA",R13=0),0,IF(AND(#REF!="F-SMRB",R13=0),0,IF(AND(#REF!="F-SMRC",R13=0),0,IF(#REF!=Worksheet!$A$68,Worksheet!J306,IF(#REF!=Worksheet!$A$69,Worksheet!J306,IF(#REF!=Worksheet!$A$70,Worksheet!J306,ROUND((Request!R13/Worksheet!$G$5*Worksheet!$G$9*(IF(Request!#REF!=Worksheet!$A$47,Worksheet!J$47,IF(Request!#REF!=Worksheet!$A$48,Worksheet!J$48,IF(Request!#REF!=Worksheet!$A$49,Worksheet!J$49,IF(Request!#REF!=Worksheet!$A$50,Worksheet!J$50,IF(Request!#REF!=Worksheet!$A$51,Worksheet!J$51,IF(Request!#REF!=Worksheet!$A$52,Worksheet!J$52,IF(Request!#REF!=Worksheet!$A$53,Worksheet!J$53,IF(Request!#REF!=Worksheet!$A$54,Worksheet!J$54,IF(Request!#REF!=Worksheet!$A$55,Worksheet!J$55))))))))))),0)+ROUND(R13/Worksheet!$G$5*Worksheet!$G$10*(IF(Request!#REF!=Worksheet!$A$47,Worksheet!K$47,IF(Request!#REF!=Worksheet!$A$48,Worksheet!K$48,IF(Request!#REF!=Worksheet!$A$49,Worksheet!K$49,IF(Request!#REF!=Worksheet!$A$50,Worksheet!K$50,IF(Request!#REF!=Worksheet!$A$51,Worksheet!K$51,IF(Request!#REF!=Worksheet!$A$52,Worksheet!K$52,IF(Request!#REF!=Worksheet!$A$53,Worksheet!K$53,IF(Request!#REF!=Worksheet!$A$54,Worksheet!K$54,IF(Request!#REF!=Worksheet!$A$55,Worksheet!K$55)))))))))),0))))))))</f>
        <v>0</v>
      </c>
      <c r="S40" s="144">
        <f t="shared" si="7"/>
        <v>0</v>
      </c>
      <c r="T40" s="192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</row>
    <row r="41" spans="1:41" ht="11.45" x14ac:dyDescent="0.2">
      <c r="A41" s="91">
        <v>7</v>
      </c>
      <c r="B41" s="247">
        <f t="shared" ref="B41:B58" si="8">B14</f>
        <v>0</v>
      </c>
      <c r="C41" s="248"/>
      <c r="D41" s="156"/>
      <c r="E41" s="174"/>
      <c r="F41" s="243"/>
      <c r="G41" s="244"/>
      <c r="H41" s="274" t="b">
        <f>IF($D41=Worksheet!$A$59,Worksheet!D$59,IF($D41=Worksheet!$A$60,Worksheet!D$60,IF($D41=Worksheet!$A$61,Worksheet!D$61,IF($D41=Worksheet!$A$62,Worksheet!D$62,IF($D41=Worksheet!$A$63,Worksheet!D$63,IF($D41=Worksheet!$A$64,Worksheet!D$64,IF($D41=Worksheet!$A$65,Worksheet!D$65,IF($D41=Worksheet!$A$66,Worksheet!D$66,IF($D41=Worksheet!$A$67,Worksheet!D$67,IF($D41=Worksheet!$A$68,Worksheet!F281,IF($D41=Worksheet!$A$69,Worksheet!F281,IF($D41=Worksheet!$A$70,Worksheet!F281,IF($D41=Worksheet!$A$71,"")))))))))))))</f>
        <v>0</v>
      </c>
      <c r="I41" s="275"/>
      <c r="J41" s="274" t="b">
        <f>IF($D41=Worksheet!$A$59,Worksheet!E$59,IF($D41=Worksheet!$A$60,Worksheet!E$60,IF($D41=Worksheet!$A$61,Worksheet!E$61,IF($D41=Worksheet!$A$62,Worksheet!E$62,IF($D41=Worksheet!$A$63,Worksheet!E$63,IF($D41=Worksheet!$A$64,Worksheet!E$64,IF($D41=Worksheet!$A$65,Worksheet!E$65,IF($D41=Worksheet!$A$66,Worksheet!E$66,IF($D41=Worksheet!$A$67,Worksheet!E$67,IF($D41=Worksheet!$A$68,Worksheet!H281,IF($D41=Worksheet!$A$69,Worksheet!H281,IF($D41=Worksheet!$A$70,Worksheet!H281,IF($D41=Worksheet!$A$71,"")))))))))))))</f>
        <v>0</v>
      </c>
      <c r="K41" s="275"/>
      <c r="L41" s="274"/>
      <c r="M41" s="275"/>
      <c r="N41" s="182">
        <f>IF(N14=0,0,IF(AND($D41="F-SMRA",N14=0),0,IF(AND($D41="F-SMRB",N14=0),0,IF(AND($D41="F-SMRC",N14=0),0,IF($D41=Worksheet!$A$68,Worksheet!B307,IF($D41=Worksheet!$A$69,Worksheet!B307,IF($D41=Worksheet!$A$70,Worksheet!B307,ROUND((Request!N14/Worksheet!$C$5*Worksheet!$C$9*(IF(Request!$D41=Worksheet!$A$47,Worksheet!B$47,IF(Request!$D41=Worksheet!$A$48,Worksheet!B$48,IF(Request!$D41=Worksheet!$A$49,Worksheet!B$49,IF(Request!$D41=Worksheet!$A$50,Worksheet!B$50,IF(Request!$D41=Worksheet!$A$51,Worksheet!B$51,IF(Request!$D41=Worksheet!$A$52,Worksheet!B$52,IF(Request!$D41=Worksheet!$A$53,Worksheet!B$53,IF(Request!$D41=Worksheet!$A$54,Worksheet!B$54,IF(Request!$D41=Worksheet!$A$55,Worksheet!B$55))))))))))),0)+ROUND(N14/Worksheet!$C$5*Worksheet!$C$10*(IF(Request!$D41=Worksheet!$A$47,Worksheet!C$47,IF(Request!$D41=Worksheet!$A$48,Worksheet!C$48,IF(Request!$D41=Worksheet!$A$49,Worksheet!C$49,IF(Request!$D41=Worksheet!$A$50,Worksheet!C$50,IF(Request!$D41=Worksheet!$A$51,Worksheet!C$51,IF(Request!$D41=Worksheet!$A$52,Worksheet!C$52,IF(Request!$D41=Worksheet!$A$53,Worksheet!C$53,IF(Request!$D41=Worksheet!$A$54,Worksheet!C$54,IF(Request!$D41=Worksheet!$A$55,Worksheet!C$55)))))))))),0))))))))</f>
        <v>0</v>
      </c>
      <c r="O41" s="182">
        <f>IF(O14=0,0,IF(AND($D41="F-SMRA",O14=0),0,IF(AND($D41="F-SMRB",O14=0),0,IF(AND($D41="F-SMRC",O14=0),0,IF($D41=Worksheet!$A$68,Worksheet!D307,IF($D41=Worksheet!$A$69,Worksheet!D307,IF($D41=Worksheet!$A$70,Worksheet!D307,ROUND((Request!O14/Worksheet!$D$5*Worksheet!$D$9*(IF(Request!$D41=Worksheet!$A$47,Worksheet!D$47,IF(Request!$D41=Worksheet!$A$48,Worksheet!D$48,IF(Request!$D41=Worksheet!$A$49,Worksheet!D$49,IF(Request!$D41=Worksheet!$A$50,Worksheet!D$50,IF(Request!$D41=Worksheet!$A$51,Worksheet!D$51,IF(Request!$D41=Worksheet!$A$52,Worksheet!D$52,IF(Request!$D41=Worksheet!$A$53,Worksheet!D$53,IF(Request!$D41=Worksheet!$A$54,Worksheet!D$54,IF(Request!$D41=Worksheet!$A$55,Worksheet!D$55))))))))))),0)+ROUND(O14/Worksheet!$D$5*Worksheet!$D$10*(IF(Request!$D41=Worksheet!$A$47,Worksheet!E$47,IF(Request!$D41=Worksheet!$A$48,Worksheet!E$48,IF(Request!$D41=Worksheet!$A$49,Worksheet!E$49,IF(Request!$D41=Worksheet!$A$50,Worksheet!E$50,IF(Request!$D41=Worksheet!$A$51,Worksheet!E$51,IF(Request!$D41=Worksheet!$A$52,Worksheet!E$52,IF(Request!$D41=Worksheet!$A$53,Worksheet!E$53,IF(Request!$D41=Worksheet!$A$54,Worksheet!E$54,IF(Request!$D41=Worksheet!$A$55,Worksheet!E$55)))))))))),0))))))))</f>
        <v>0</v>
      </c>
      <c r="P41" s="182">
        <f>IF(P14=0,0,IF(AND($D41="F-SMRA",P14=0),0,IF(AND($D41="F-SMRB",P14=0),0,IF(AND($D41="F-SMRC",P14=0),0,IF($D41=Worksheet!$A$68,Worksheet!F307,IF($D41=Worksheet!$A$69,Worksheet!F307,IF($D41=Worksheet!$A$70,Worksheet!F307,ROUND((Request!P14/Worksheet!$E$5*Worksheet!$E$9*(IF(Request!$D41=Worksheet!$A$47,Worksheet!F$47,IF(Request!$D41=Worksheet!$A$48,Worksheet!F$48,IF(Request!$D41=Worksheet!$A$49,Worksheet!F$49,IF(Request!$D41=Worksheet!$A$50,Worksheet!F$50,IF(Request!$D41=Worksheet!$A$51,Worksheet!F$51,IF(Request!$D41=Worksheet!$A$52,Worksheet!F$52,IF(Request!$D41=Worksheet!$A$53,Worksheet!F$53,IF(Request!$D41=Worksheet!$A$54,Worksheet!F$54,IF(Request!$D41=Worksheet!$A$55,Worksheet!F$55))))))))))),0)+ROUND(P14/Worksheet!$E$5*Worksheet!$E$10*(IF(Request!$D41=Worksheet!$A$47,Worksheet!G$47,IF(Request!$D41=Worksheet!$A$48,Worksheet!G$48,IF(Request!$D41=Worksheet!$A$49,Worksheet!G$49,IF(Request!$D41=Worksheet!$A$50,Worksheet!G$50,IF(Request!$D41=Worksheet!$A$51,Worksheet!G$51,IF(Request!$D41=Worksheet!$A$52,Worksheet!G$52,IF(Request!$D41=Worksheet!$A$53,Worksheet!G$53,IF(Request!$D41=Worksheet!$A$54,Worksheet!G$54,IF(Request!$D41=Worksheet!$A$55,Worksheet!G$55)))))))))),0))))))))</f>
        <v>0</v>
      </c>
      <c r="Q41" s="182">
        <f>IF(Q14=0,0,IF(AND($D41="F-SMRA",Q14=0),0,IF(AND($D41="F-SMRB",Q14=0),0,IF(AND($D41="F-SMRC",Q14=0),0,IF($D41=Worksheet!$A$68,Worksheet!H307,IF($D41=Worksheet!$A$69,Worksheet!H307,IF($D41=Worksheet!$A$70,Worksheet!H307,ROUND((Request!Q14/Worksheet!$F$5*Worksheet!$F$9*(IF(Request!$D41=Worksheet!$A$47,Worksheet!H$47,IF(Request!$D41=Worksheet!$A$48,Worksheet!H$48,IF(Request!$D41=Worksheet!$A$49,Worksheet!H$49,IF(Request!$D41=Worksheet!$A$50,Worksheet!H$50,IF(Request!$D41=Worksheet!$A$51,Worksheet!H$51,IF(Request!$D41=Worksheet!$A$52,Worksheet!H$52,IF(Request!$D41=Worksheet!$A$53,Worksheet!H$53,IF(Request!$D41=Worksheet!$A$54,Worksheet!H$54,IF(Request!$D41=Worksheet!$A$55,Worksheet!H$55))))))))))),0)+ROUND(Q14/Worksheet!$F$5*Worksheet!$F$10*(IF(Request!$D41=Worksheet!$A$47,Worksheet!I$47,IF(Request!$D41=Worksheet!$A$48,Worksheet!I$48,IF(Request!$D41=Worksheet!$A$49,Worksheet!I$49,IF(Request!$D41=Worksheet!$A$50,Worksheet!I$50,IF(Request!$D41=Worksheet!$A$51,Worksheet!I$51,IF(Request!$D41=Worksheet!$A$52,Worksheet!I$52,IF(Request!$D41=Worksheet!$A$53,Worksheet!I$53,IF(Request!$D41=Worksheet!$A$54,Worksheet!I$54,IF(Request!$D41=Worksheet!$A$55,Worksheet!I$55)))))))))),0))))))))</f>
        <v>0</v>
      </c>
      <c r="R41" s="182">
        <f>IF(R14=0,0,IF(AND($D41="F-SMRA",R14=0),0,IF(AND($D41="F-SMRB",R14=0),0,IF(AND($D41="F-SMRC",R14=0),0,IF($D41=Worksheet!$A$68,Worksheet!J307,IF($D41=Worksheet!$A$69,Worksheet!J307,IF($D41=Worksheet!$A$70,Worksheet!J307,ROUND((Request!R14/Worksheet!$G$5*Worksheet!$G$9*(IF(Request!$D41=Worksheet!$A$47,Worksheet!J$47,IF(Request!$D41=Worksheet!$A$48,Worksheet!J$48,IF(Request!$D41=Worksheet!$A$49,Worksheet!J$49,IF(Request!$D41=Worksheet!$A$50,Worksheet!J$50,IF(Request!$D41=Worksheet!$A$51,Worksheet!J$51,IF(Request!$D41=Worksheet!$A$52,Worksheet!J$52,IF(Request!$D41=Worksheet!$A$53,Worksheet!J$53,IF(Request!$D41=Worksheet!$A$54,Worksheet!J$54,IF(Request!$D41=Worksheet!$A$55,Worksheet!J$55))))))))))),0)+ROUND(R14/Worksheet!$G$5*Worksheet!$G$10*(IF(Request!$D41=Worksheet!$A$47,Worksheet!K$47,IF(Request!$D41=Worksheet!$A$48,Worksheet!K$48,IF(Request!$D41=Worksheet!$A$49,Worksheet!K$49,IF(Request!$D41=Worksheet!$A$50,Worksheet!K$50,IF(Request!$D41=Worksheet!$A$51,Worksheet!K$51,IF(Request!$D41=Worksheet!$A$52,Worksheet!K$52,IF(Request!$D41=Worksheet!$A$53,Worksheet!K$53,IF(Request!$D41=Worksheet!$A$54,Worksheet!K$54,IF(Request!$D41=Worksheet!$A$55,Worksheet!K$55)))))))))),0))))))))</f>
        <v>0</v>
      </c>
      <c r="S41" s="144">
        <f t="shared" si="7"/>
        <v>0</v>
      </c>
      <c r="T41" s="192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</row>
    <row r="42" spans="1:41" ht="11.45" x14ac:dyDescent="0.2">
      <c r="A42" s="91">
        <v>8</v>
      </c>
      <c r="B42" s="247">
        <f t="shared" si="8"/>
        <v>0</v>
      </c>
      <c r="C42" s="248"/>
      <c r="D42" s="156"/>
      <c r="E42" s="174"/>
      <c r="F42" s="243"/>
      <c r="G42" s="244"/>
      <c r="H42" s="274" t="b">
        <f>IF($D42=Worksheet!$A$59,Worksheet!D$59,IF($D42=Worksheet!$A$60,Worksheet!D$60,IF($D42=Worksheet!$A$61,Worksheet!D$61,IF($D42=Worksheet!$A$62,Worksheet!D$62,IF($D42=Worksheet!$A$63,Worksheet!D$63,IF($D42=Worksheet!$A$64,Worksheet!D$64,IF($D42=Worksheet!$A$65,Worksheet!D$65,IF($D42=Worksheet!$A$66,Worksheet!D$66,IF($D42=Worksheet!$A$67,Worksheet!D$67,IF($D42=Worksheet!$A$68,Worksheet!F282,IF($D42=Worksheet!$A$69,Worksheet!F282,IF($D42=Worksheet!$A$70,Worksheet!F282,IF($D42=Worksheet!$A$71,"")))))))))))))</f>
        <v>0</v>
      </c>
      <c r="I42" s="275"/>
      <c r="J42" s="274"/>
      <c r="K42" s="275"/>
      <c r="L42" s="274"/>
      <c r="M42" s="275"/>
      <c r="N42" s="182">
        <f>IF(N15=0,0,IF(AND($D42="F-SMRA",N15=0),0,IF(AND($D42="F-SMRB",N15=0),0,IF(AND($D42="F-SMRC",N15=0),0,IF($D42=Worksheet!$A$68,Worksheet!B308,IF($D42=Worksheet!$A$69,Worksheet!B308,IF($D42=Worksheet!$A$70,Worksheet!B308,ROUND((Request!N15/Worksheet!$C$5*Worksheet!$C$9*(IF(Request!$D42=Worksheet!$A$47,Worksheet!B$47,IF(Request!$D42=Worksheet!$A$48,Worksheet!B$48,IF(Request!$D42=Worksheet!$A$49,Worksheet!B$49,IF(Request!$D42=Worksheet!$A$50,Worksheet!B$50,IF(Request!$D42=Worksheet!$A$51,Worksheet!B$51,IF(Request!$D42=Worksheet!$A$52,Worksheet!B$52,IF(Request!$D42=Worksheet!$A$53,Worksheet!B$53,IF(Request!$D42=Worksheet!$A$54,Worksheet!B$54,IF(Request!$D42=Worksheet!$A$55,Worksheet!B$55))))))))))),0)+ROUND(N15/Worksheet!$C$5*Worksheet!$C$10*(IF(Request!$D42=Worksheet!$A$47,Worksheet!C$47,IF(Request!$D42=Worksheet!$A$48,Worksheet!C$48,IF(Request!$D42=Worksheet!$A$49,Worksheet!C$49,IF(Request!$D42=Worksheet!$A$50,Worksheet!C$50,IF(Request!$D42=Worksheet!$A$51,Worksheet!C$51,IF(Request!$D42=Worksheet!$A$52,Worksheet!C$52,IF(Request!$D42=Worksheet!$A$53,Worksheet!C$53,IF(Request!$D42=Worksheet!$A$54,Worksheet!C$54,IF(Request!$D42=Worksheet!$A$55,Worksheet!C$55)))))))))),0))))))))</f>
        <v>0</v>
      </c>
      <c r="O42" s="182">
        <f>IF(O15=0,0,IF(AND($D42="F-SMRA",O15=0),0,IF(AND($D42="F-SMRB",O15=0),0,IF(AND($D42="F-SMRC",O15=0),0,IF($D42=Worksheet!$A$68,Worksheet!D308,IF($D42=Worksheet!$A$69,Worksheet!D308,IF($D42=Worksheet!$A$70,Worksheet!D308,ROUND((Request!O15/Worksheet!$D$5*Worksheet!$D$9*(IF(Request!$D42=Worksheet!$A$47,Worksheet!D$47,IF(Request!$D42=Worksheet!$A$48,Worksheet!D$48,IF(Request!$D42=Worksheet!$A$49,Worksheet!D$49,IF(Request!$D42=Worksheet!$A$50,Worksheet!D$50,IF(Request!$D42=Worksheet!$A$51,Worksheet!D$51,IF(Request!$D42=Worksheet!$A$52,Worksheet!D$52,IF(Request!$D42=Worksheet!$A$53,Worksheet!D$53,IF(Request!$D42=Worksheet!$A$54,Worksheet!D$54,IF(Request!$D42=Worksheet!$A$55,Worksheet!D$55))))))))))),0)+ROUND(O15/Worksheet!$D$5*Worksheet!$D$10*(IF(Request!$D42=Worksheet!$A$47,Worksheet!E$47,IF(Request!$D42=Worksheet!$A$48,Worksheet!E$48,IF(Request!$D42=Worksheet!$A$49,Worksheet!E$49,IF(Request!$D42=Worksheet!$A$50,Worksheet!E$50,IF(Request!$D42=Worksheet!$A$51,Worksheet!E$51,IF(Request!$D42=Worksheet!$A$52,Worksheet!E$52,IF(Request!$D42=Worksheet!$A$53,Worksheet!E$53,IF(Request!$D42=Worksheet!$A$54,Worksheet!E$54,IF(Request!$D42=Worksheet!$A$55,Worksheet!E$55)))))))))),0))))))))</f>
        <v>0</v>
      </c>
      <c r="P42" s="182">
        <f>IF(P15=0,0,IF(AND($D42="F-SMRA",P15=0),0,IF(AND($D42="F-SMRB",P15=0),0,IF(AND($D42="F-SMRC",P15=0),0,IF($D42=Worksheet!$A$68,Worksheet!F308,IF($D42=Worksheet!$A$69,Worksheet!F308,IF($D42=Worksheet!$A$70,Worksheet!F308,ROUND((Request!P15/Worksheet!$E$5*Worksheet!$E$9*(IF(Request!$D42=Worksheet!$A$47,Worksheet!F$47,IF(Request!$D42=Worksheet!$A$48,Worksheet!F$48,IF(Request!$D42=Worksheet!$A$49,Worksheet!F$49,IF(Request!$D42=Worksheet!$A$50,Worksheet!F$50,IF(Request!$D42=Worksheet!$A$51,Worksheet!F$51,IF(Request!$D42=Worksheet!$A$52,Worksheet!F$52,IF(Request!$D42=Worksheet!$A$53,Worksheet!F$53,IF(Request!$D42=Worksheet!$A$54,Worksheet!F$54,IF(Request!$D42=Worksheet!$A$55,Worksheet!F$55))))))))))),0)+ROUND(P15/Worksheet!$E$5*Worksheet!$E$10*(IF(Request!$D42=Worksheet!$A$47,Worksheet!G$47,IF(Request!$D42=Worksheet!$A$48,Worksheet!G$48,IF(Request!$D42=Worksheet!$A$49,Worksheet!G$49,IF(Request!$D42=Worksheet!$A$50,Worksheet!G$50,IF(Request!$D42=Worksheet!$A$51,Worksheet!G$51,IF(Request!$D42=Worksheet!$A$52,Worksheet!G$52,IF(Request!$D42=Worksheet!$A$53,Worksheet!G$53,IF(Request!$D42=Worksheet!$A$54,Worksheet!G$54,IF(Request!$D42=Worksheet!$A$55,Worksheet!G$55)))))))))),0))))))))</f>
        <v>0</v>
      </c>
      <c r="Q42" s="182">
        <f>IF(Q15=0,0,IF(AND($D42="F-SMRA",Q15=0),0,IF(AND($D42="F-SMRB",Q15=0),0,IF(AND($D42="F-SMRC",Q15=0),0,IF($D42=Worksheet!$A$68,Worksheet!H308,IF($D42=Worksheet!$A$69,Worksheet!H308,IF($D42=Worksheet!$A$70,Worksheet!H308,ROUND((Request!Q15/Worksheet!$F$5*Worksheet!$F$9*(IF(Request!$D42=Worksheet!$A$47,Worksheet!H$47,IF(Request!$D42=Worksheet!$A$48,Worksheet!H$48,IF(Request!$D42=Worksheet!$A$49,Worksheet!H$49,IF(Request!$D42=Worksheet!$A$50,Worksheet!H$50,IF(Request!$D42=Worksheet!$A$51,Worksheet!H$51,IF(Request!$D42=Worksheet!$A$52,Worksheet!H$52,IF(Request!$D42=Worksheet!$A$53,Worksheet!H$53,IF(Request!$D42=Worksheet!$A$54,Worksheet!H$54,IF(Request!$D42=Worksheet!$A$55,Worksheet!H$55))))))))))),0)+ROUND(Q15/Worksheet!$F$5*Worksheet!$F$10*(IF(Request!$D42=Worksheet!$A$47,Worksheet!I$47,IF(Request!$D42=Worksheet!$A$48,Worksheet!I$48,IF(Request!$D42=Worksheet!$A$49,Worksheet!I$49,IF(Request!$D42=Worksheet!$A$50,Worksheet!I$50,IF(Request!$D42=Worksheet!$A$51,Worksheet!I$51,IF(Request!$D42=Worksheet!$A$52,Worksheet!I$52,IF(Request!$D42=Worksheet!$A$53,Worksheet!I$53,IF(Request!$D42=Worksheet!$A$54,Worksheet!I$54,IF(Request!$D42=Worksheet!$A$55,Worksheet!I$55)))))))))),0))))))))</f>
        <v>0</v>
      </c>
      <c r="R42" s="182">
        <f>IF(R15=0,0,IF(AND($D42="F-SMRA",R15=0),0,IF(AND($D42="F-SMRB",R15=0),0,IF(AND($D42="F-SMRC",R15=0),0,IF($D42=Worksheet!$A$68,Worksheet!J308,IF($D42=Worksheet!$A$69,Worksheet!J308,IF($D42=Worksheet!$A$70,Worksheet!J308,ROUND((Request!R15/Worksheet!$G$5*Worksheet!$G$9*(IF(Request!$D42=Worksheet!$A$47,Worksheet!J$47,IF(Request!$D42=Worksheet!$A$48,Worksheet!J$48,IF(Request!$D42=Worksheet!$A$49,Worksheet!J$49,IF(Request!$D42=Worksheet!$A$50,Worksheet!J$50,IF(Request!$D42=Worksheet!$A$51,Worksheet!J$51,IF(Request!$D42=Worksheet!$A$52,Worksheet!J$52,IF(Request!$D42=Worksheet!$A$53,Worksheet!J$53,IF(Request!$D42=Worksheet!$A$54,Worksheet!J$54,IF(Request!$D42=Worksheet!$A$55,Worksheet!J$55))))))))))),0)+ROUND(R15/Worksheet!$G$5*Worksheet!$G$10*(IF(Request!$D42=Worksheet!$A$47,Worksheet!K$47,IF(Request!$D42=Worksheet!$A$48,Worksheet!K$48,IF(Request!$D42=Worksheet!$A$49,Worksheet!K$49,IF(Request!$D42=Worksheet!$A$50,Worksheet!K$50,IF(Request!$D42=Worksheet!$A$51,Worksheet!K$51,IF(Request!$D42=Worksheet!$A$52,Worksheet!K$52,IF(Request!$D42=Worksheet!$A$53,Worksheet!K$53,IF(Request!$D42=Worksheet!$A$54,Worksheet!K$54,IF(Request!$D42=Worksheet!$A$55,Worksheet!K$55)))))))))),0))))))))</f>
        <v>0</v>
      </c>
      <c r="S42" s="144">
        <f t="shared" si="7"/>
        <v>0</v>
      </c>
      <c r="T42" s="192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</row>
    <row r="43" spans="1:41" ht="11.45" hidden="1" x14ac:dyDescent="0.2">
      <c r="A43" s="91">
        <v>9</v>
      </c>
      <c r="B43" s="247">
        <f t="shared" si="8"/>
        <v>0</v>
      </c>
      <c r="C43" s="248"/>
      <c r="D43" s="156" t="s">
        <v>51</v>
      </c>
      <c r="E43" s="174" t="str">
        <f>IF($D43=Worksheet!$A$59,Worksheet!B$59,IF($D43=Worksheet!$A$60,Worksheet!B$60,IF($D43=Worksheet!$A$61,Worksheet!B$61,IF($D43=Worksheet!$A$62,Worksheet!B$62,IF($D43=Worksheet!$A$63,Worksheet!B$63,IF($D43=Worksheet!$A$64,Worksheet!B$64,IF($D43=Worksheet!$A$65,Worksheet!B$65,IF($D43=Worksheet!$A$66,Worksheet!B$66,IF($D43=Worksheet!$A$67,Worksheet!B$67,IF($D43=Worksheet!$A$68,Worksheet!B283,IF($D43=Worksheet!$A$69,Worksheet!B283,IF($D43=Worksheet!$A$70,Worksheet!B283,IF($D43=Worksheet!$A$71,"")))))))))))))</f>
        <v/>
      </c>
      <c r="F43" s="243" t="str">
        <f>IF($D43=Worksheet!$A$59,Worksheet!C$59,IF($D43=Worksheet!$A$60,Worksheet!C$60,IF($D43=Worksheet!$A$61,Worksheet!C$61,IF($D43=Worksheet!$A$62,Worksheet!C$62,IF($D43=Worksheet!$A$63,Worksheet!C$63,IF($D43=Worksheet!$A$64,Worksheet!C$64,IF($D43=Worksheet!$A$65,Worksheet!C$65,IF($D43=Worksheet!$A$66,Worksheet!C$66,IF($D43=Worksheet!$A$67,Worksheet!C$67,IF($D43=Worksheet!$A$68,Worksheet!D283,IF($D43=Worksheet!$A$69,Worksheet!D283,IF($D43=Worksheet!$A$70,Worksheet!D283,IF($D43=Worksheet!$A$71,"")))))))))))))</f>
        <v/>
      </c>
      <c r="G43" s="244"/>
      <c r="H43" s="274" t="str">
        <f>IF($D43=Worksheet!$A$59,Worksheet!D$59,IF($D43=Worksheet!$A$60,Worksheet!D$60,IF($D43=Worksheet!$A$61,Worksheet!D$61,IF($D43=Worksheet!$A$62,Worksheet!D$62,IF($D43=Worksheet!$A$63,Worksheet!D$63,IF($D43=Worksheet!$A$64,Worksheet!D$64,IF($D43=Worksheet!$A$65,Worksheet!D$65,IF($D43=Worksheet!$A$66,Worksheet!D$66,IF($D43=Worksheet!$A$67,Worksheet!D$67,IF($D43=Worksheet!$A$68,Worksheet!F283,IF($D43=Worksheet!$A$69,Worksheet!F283,IF($D43=Worksheet!$A$70,Worksheet!F283,IF($D43=Worksheet!$A$71,"")))))))))))))</f>
        <v/>
      </c>
      <c r="I43" s="275"/>
      <c r="J43" s="274" t="str">
        <f>IF($D43=Worksheet!$A$59,Worksheet!E$59,IF($D43=Worksheet!$A$60,Worksheet!E$60,IF($D43=Worksheet!$A$61,Worksheet!E$61,IF($D43=Worksheet!$A$62,Worksheet!E$62,IF($D43=Worksheet!$A$63,Worksheet!E$63,IF($D43=Worksheet!$A$64,Worksheet!E$64,IF($D43=Worksheet!$A$65,Worksheet!E$65,IF($D43=Worksheet!$A$66,Worksheet!E$66,IF($D43=Worksheet!$A$67,Worksheet!E$67,IF($D43=Worksheet!$A$68,Worksheet!H283,IF($D43=Worksheet!$A$69,Worksheet!H283,IF($D43=Worksheet!$A$70,Worksheet!H283,IF($D43=Worksheet!$A$71,"")))))))))))))</f>
        <v/>
      </c>
      <c r="K43" s="275"/>
      <c r="L43" s="274" t="str">
        <f>IF($D43=Worksheet!$A$59,Worksheet!F$59,IF($D43=Worksheet!$A$60,Worksheet!F$60,IF($D43=Worksheet!$A$61,Worksheet!F$61,IF($D43=Worksheet!$A$62,Worksheet!F$62,IF($D43=Worksheet!$A$63,Worksheet!F$63,IF($D43=Worksheet!$A$64,Worksheet!F$64,IF($D43=Worksheet!$A$65,Worksheet!F$65,IF($D43=Worksheet!$A$66,Worksheet!F$66,IF($D43=Worksheet!$A$67,Worksheet!F$67,IF($D43=Worksheet!$A$68,Worksheet!J283,IF($D43=Worksheet!$A$69,Worksheet!J283,IF($D43=Worksheet!$A$70,Worksheet!J283,IF($D43=Worksheet!$A$71,"")))))))))))))</f>
        <v/>
      </c>
      <c r="M43" s="275"/>
      <c r="N43" s="182">
        <f>IF(N16=0,0,IF(AND($D43="F-SMRA",N16=0),0,IF(AND($D43="F-SMRB",N16=0),0,IF(AND($D43="F-SMRC",N16=0),0,IF($D43=Worksheet!$A$68,Worksheet!B309,IF($D43=Worksheet!$A$69,Worksheet!B309,IF($D43=Worksheet!$A$70,Worksheet!B309,ROUND((Request!N16/Worksheet!$C$5*Worksheet!$C$9*(IF(Request!$D43=Worksheet!$A$47,Worksheet!B$47,IF(Request!$D43=Worksheet!$A$48,Worksheet!B$48,IF(Request!$D43=Worksheet!$A$49,Worksheet!B$49,IF(Request!$D43=Worksheet!$A$50,Worksheet!B$50,IF(Request!$D43=Worksheet!$A$51,Worksheet!B$51,IF(Request!$D43=Worksheet!$A$52,Worksheet!B$52,IF(Request!$D43=Worksheet!$A$53,Worksheet!B$53,IF(Request!$D43=Worksheet!$A$54,Worksheet!B$54,IF(Request!$D43=Worksheet!$A$55,Worksheet!B$55))))))))))),0)+ROUND(N16/Worksheet!$C$5*Worksheet!$C$10*(IF(Request!$D43=Worksheet!$A$47,Worksheet!C$47,IF(Request!$D43=Worksheet!$A$48,Worksheet!C$48,IF(Request!$D43=Worksheet!$A$49,Worksheet!C$49,IF(Request!$D43=Worksheet!$A$50,Worksheet!C$50,IF(Request!$D43=Worksheet!$A$51,Worksheet!C$51,IF(Request!$D43=Worksheet!$A$52,Worksheet!C$52,IF(Request!$D43=Worksheet!$A$53,Worksheet!C$53,IF(Request!$D43=Worksheet!$A$54,Worksheet!C$54,IF(Request!$D43=Worksheet!$A$55,Worksheet!C$55)))))))))),0))))))))</f>
        <v>0</v>
      </c>
      <c r="O43" s="182">
        <f>IF(O16=0,0,IF(AND($D43="F-SMRA",O16=0),0,IF(AND($D43="F-SMRB",O16=0),0,IF(AND($D43="F-SMRC",O16=0),0,IF($D43=Worksheet!$A$68,Worksheet!D309,IF($D43=Worksheet!$A$69,Worksheet!D309,IF($D43=Worksheet!$A$70,Worksheet!D309,ROUND((Request!O16/Worksheet!$D$5*Worksheet!$D$9*(IF(Request!$D43=Worksheet!$A$47,Worksheet!D$47,IF(Request!$D43=Worksheet!$A$48,Worksheet!D$48,IF(Request!$D43=Worksheet!$A$49,Worksheet!D$49,IF(Request!$D43=Worksheet!$A$50,Worksheet!D$50,IF(Request!$D43=Worksheet!$A$51,Worksheet!D$51,IF(Request!$D43=Worksheet!$A$52,Worksheet!D$52,IF(Request!$D43=Worksheet!$A$53,Worksheet!D$53,IF(Request!$D43=Worksheet!$A$54,Worksheet!D$54,IF(Request!$D43=Worksheet!$A$55,Worksheet!D$55))))))))))),0)+ROUND(O16/Worksheet!$D$5*Worksheet!$D$10*(IF(Request!$D43=Worksheet!$A$47,Worksheet!E$47,IF(Request!$D43=Worksheet!$A$48,Worksheet!E$48,IF(Request!$D43=Worksheet!$A$49,Worksheet!E$49,IF(Request!$D43=Worksheet!$A$50,Worksheet!E$50,IF(Request!$D43=Worksheet!$A$51,Worksheet!E$51,IF(Request!$D43=Worksheet!$A$52,Worksheet!E$52,IF(Request!$D43=Worksheet!$A$53,Worksheet!E$53,IF(Request!$D43=Worksheet!$A$54,Worksheet!E$54,IF(Request!$D43=Worksheet!$A$55,Worksheet!E$55)))))))))),0))))))))</f>
        <v>0</v>
      </c>
      <c r="P43" s="182">
        <f>IF(P16=0,0,IF(AND($D43="F-SMRA",P16=0),0,IF(AND($D43="F-SMRB",P16=0),0,IF(AND($D43="F-SMRC",P16=0),0,IF($D43=Worksheet!$A$68,Worksheet!F309,IF($D43=Worksheet!$A$69,Worksheet!F309,IF($D43=Worksheet!$A$70,Worksheet!F309,ROUND((Request!P16/Worksheet!$E$5*Worksheet!$E$9*(IF(Request!$D43=Worksheet!$A$47,Worksheet!F$47,IF(Request!$D43=Worksheet!$A$48,Worksheet!F$48,IF(Request!$D43=Worksheet!$A$49,Worksheet!F$49,IF(Request!$D43=Worksheet!$A$50,Worksheet!F$50,IF(Request!$D43=Worksheet!$A$51,Worksheet!F$51,IF(Request!$D43=Worksheet!$A$52,Worksheet!F$52,IF(Request!$D43=Worksheet!$A$53,Worksheet!F$53,IF(Request!$D43=Worksheet!$A$54,Worksheet!F$54,IF(Request!$D43=Worksheet!$A$55,Worksheet!F$55))))))))))),0)+ROUND(P16/Worksheet!$E$5*Worksheet!$E$10*(IF(Request!$D43=Worksheet!$A$47,Worksheet!G$47,IF(Request!$D43=Worksheet!$A$48,Worksheet!G$48,IF(Request!$D43=Worksheet!$A$49,Worksheet!G$49,IF(Request!$D43=Worksheet!$A$50,Worksheet!G$50,IF(Request!$D43=Worksheet!$A$51,Worksheet!G$51,IF(Request!$D43=Worksheet!$A$52,Worksheet!G$52,IF(Request!$D43=Worksheet!$A$53,Worksheet!G$53,IF(Request!$D43=Worksheet!$A$54,Worksheet!G$54,IF(Request!$D43=Worksheet!$A$55,Worksheet!G$55)))))))))),0))))))))</f>
        <v>0</v>
      </c>
      <c r="Q43" s="182">
        <f>IF(Q16=0,0,IF(AND($D43="F-SMRA",Q16=0),0,IF(AND($D43="F-SMRB",Q16=0),0,IF(AND($D43="F-SMRC",Q16=0),0,IF($D43=Worksheet!$A$68,Worksheet!H309,IF($D43=Worksheet!$A$69,Worksheet!H309,IF($D43=Worksheet!$A$70,Worksheet!H309,ROUND((Request!Q16/Worksheet!$F$5*Worksheet!$F$9*(IF(Request!$D43=Worksheet!$A$47,Worksheet!H$47,IF(Request!$D43=Worksheet!$A$48,Worksheet!H$48,IF(Request!$D43=Worksheet!$A$49,Worksheet!H$49,IF(Request!$D43=Worksheet!$A$50,Worksheet!H$50,IF(Request!$D43=Worksheet!$A$51,Worksheet!H$51,IF(Request!$D43=Worksheet!$A$52,Worksheet!H$52,IF(Request!$D43=Worksheet!$A$53,Worksheet!H$53,IF(Request!$D43=Worksheet!$A$54,Worksheet!H$54,IF(Request!$D43=Worksheet!$A$55,Worksheet!H$55))))))))))),0)+ROUND(Q16/Worksheet!$F$5*Worksheet!$F$10*(IF(Request!$D43=Worksheet!$A$47,Worksheet!I$47,IF(Request!$D43=Worksheet!$A$48,Worksheet!I$48,IF(Request!$D43=Worksheet!$A$49,Worksheet!I$49,IF(Request!$D43=Worksheet!$A$50,Worksheet!I$50,IF(Request!$D43=Worksheet!$A$51,Worksheet!I$51,IF(Request!$D43=Worksheet!$A$52,Worksheet!I$52,IF(Request!$D43=Worksheet!$A$53,Worksheet!I$53,IF(Request!$D43=Worksheet!$A$54,Worksheet!I$54,IF(Request!$D43=Worksheet!$A$55,Worksheet!I$55)))))))))),0))))))))</f>
        <v>0</v>
      </c>
      <c r="R43" s="182">
        <f>IF(R16=0,0,IF(AND($D43="F-SMRA",R16=0),0,IF(AND($D43="F-SMRB",R16=0),0,IF(AND($D43="F-SMRC",R16=0),0,IF($D43=Worksheet!$A$68,Worksheet!J309,IF($D43=Worksheet!$A$69,Worksheet!J309,IF($D43=Worksheet!$A$70,Worksheet!J309,ROUND((Request!R16/Worksheet!$G$5*Worksheet!$G$9*(IF(Request!$D43=Worksheet!$A$47,Worksheet!J$47,IF(Request!$D43=Worksheet!$A$48,Worksheet!J$48,IF(Request!$D43=Worksheet!$A$49,Worksheet!J$49,IF(Request!$D43=Worksheet!$A$50,Worksheet!J$50,IF(Request!$D43=Worksheet!$A$51,Worksheet!J$51,IF(Request!$D43=Worksheet!$A$52,Worksheet!J$52,IF(Request!$D43=Worksheet!$A$53,Worksheet!J$53,IF(Request!$D43=Worksheet!$A$54,Worksheet!J$54,IF(Request!$D43=Worksheet!$A$55,Worksheet!J$55))))))))))),0)+ROUND(R16/Worksheet!$G$5*Worksheet!$G$10*(IF(Request!$D43=Worksheet!$A$47,Worksheet!K$47,IF(Request!$D43=Worksheet!$A$48,Worksheet!K$48,IF(Request!$D43=Worksheet!$A$49,Worksheet!K$49,IF(Request!$D43=Worksheet!$A$50,Worksheet!K$50,IF(Request!$D43=Worksheet!$A$51,Worksheet!K$51,IF(Request!$D43=Worksheet!$A$52,Worksheet!K$52,IF(Request!$D43=Worksheet!$A$53,Worksheet!K$53,IF(Request!$D43=Worksheet!$A$54,Worksheet!K$54,IF(Request!$D43=Worksheet!$A$55,Worksheet!K$55)))))))))),0))))))))</f>
        <v>0</v>
      </c>
      <c r="S43" s="144">
        <f t="shared" si="7"/>
        <v>0</v>
      </c>
      <c r="T43" s="192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</row>
    <row r="44" spans="1:41" ht="11.45" hidden="1" x14ac:dyDescent="0.2">
      <c r="A44" s="91">
        <v>10</v>
      </c>
      <c r="B44" s="247">
        <f t="shared" si="8"/>
        <v>0</v>
      </c>
      <c r="C44" s="248"/>
      <c r="D44" s="156" t="s">
        <v>51</v>
      </c>
      <c r="E44" s="174" t="str">
        <f>IF($D44=Worksheet!$A$59,Worksheet!B$59,IF($D44=Worksheet!$A$60,Worksheet!B$60,IF($D44=Worksheet!$A$61,Worksheet!B$61,IF($D44=Worksheet!$A$62,Worksheet!B$62,IF($D44=Worksheet!$A$63,Worksheet!B$63,IF($D44=Worksheet!$A$64,Worksheet!B$64,IF($D44=Worksheet!$A$65,Worksheet!B$65,IF($D44=Worksheet!$A$66,Worksheet!B$66,IF($D44=Worksheet!$A$67,Worksheet!B$67,IF($D44=Worksheet!$A$68,Worksheet!B284,IF($D44=Worksheet!$A$69,Worksheet!B284,IF($D44=Worksheet!$A$70,Worksheet!B284,IF($D44=Worksheet!$A$71,"")))))))))))))</f>
        <v/>
      </c>
      <c r="F44" s="243" t="str">
        <f>IF($D44=Worksheet!$A$59,Worksheet!C$59,IF($D44=Worksheet!$A$60,Worksheet!C$60,IF($D44=Worksheet!$A$61,Worksheet!C$61,IF($D44=Worksheet!$A$62,Worksheet!C$62,IF($D44=Worksheet!$A$63,Worksheet!C$63,IF($D44=Worksheet!$A$64,Worksheet!C$64,IF($D44=Worksheet!$A$65,Worksheet!C$65,IF($D44=Worksheet!$A$66,Worksheet!C$66,IF($D44=Worksheet!$A$67,Worksheet!C$67,IF($D44=Worksheet!$A$68,Worksheet!D284,IF($D44=Worksheet!$A$69,Worksheet!D284,IF($D44=Worksheet!$A$70,Worksheet!D284,IF($D44=Worksheet!$A$71,"")))))))))))))</f>
        <v/>
      </c>
      <c r="G44" s="244"/>
      <c r="H44" s="274" t="str">
        <f>IF($D44=Worksheet!$A$59,Worksheet!D$59,IF($D44=Worksheet!$A$60,Worksheet!D$60,IF($D44=Worksheet!$A$61,Worksheet!D$61,IF($D44=Worksheet!$A$62,Worksheet!D$62,IF($D44=Worksheet!$A$63,Worksheet!D$63,IF($D44=Worksheet!$A$64,Worksheet!D$64,IF($D44=Worksheet!$A$65,Worksheet!D$65,IF($D44=Worksheet!$A$66,Worksheet!D$66,IF($D44=Worksheet!$A$67,Worksheet!D$67,IF($D44=Worksheet!$A$68,Worksheet!F284,IF($D44=Worksheet!$A$69,Worksheet!F284,IF($D44=Worksheet!$A$70,Worksheet!F284,IF($D44=Worksheet!$A$71,"")))))))))))))</f>
        <v/>
      </c>
      <c r="I44" s="275"/>
      <c r="J44" s="274" t="str">
        <f>IF($D44=Worksheet!$A$59,Worksheet!E$59,IF($D44=Worksheet!$A$60,Worksheet!E$60,IF($D44=Worksheet!$A$61,Worksheet!E$61,IF($D44=Worksheet!$A$62,Worksheet!E$62,IF($D44=Worksheet!$A$63,Worksheet!E$63,IF($D44=Worksheet!$A$64,Worksheet!E$64,IF($D44=Worksheet!$A$65,Worksheet!E$65,IF($D44=Worksheet!$A$66,Worksheet!E$66,IF($D44=Worksheet!$A$67,Worksheet!E$67,IF($D44=Worksheet!$A$68,Worksheet!H284,IF($D44=Worksheet!$A$69,Worksheet!H284,IF($D44=Worksheet!$A$70,Worksheet!H284,IF($D44=Worksheet!$A$71,"")))))))))))))</f>
        <v/>
      </c>
      <c r="K44" s="275"/>
      <c r="L44" s="274" t="str">
        <f>IF($D44=Worksheet!$A$59,Worksheet!F$59,IF($D44=Worksheet!$A$60,Worksheet!F$60,IF($D44=Worksheet!$A$61,Worksheet!F$61,IF($D44=Worksheet!$A$62,Worksheet!F$62,IF($D44=Worksheet!$A$63,Worksheet!F$63,IF($D44=Worksheet!$A$64,Worksheet!F$64,IF($D44=Worksheet!$A$65,Worksheet!F$65,IF($D44=Worksheet!$A$66,Worksheet!F$66,IF($D44=Worksheet!$A$67,Worksheet!F$67,IF($D44=Worksheet!$A$68,Worksheet!J284,IF($D44=Worksheet!$A$69,Worksheet!J284,IF($D44=Worksheet!$A$70,Worksheet!J284,IF($D44=Worksheet!$A$71,"")))))))))))))</f>
        <v/>
      </c>
      <c r="M44" s="275"/>
      <c r="N44" s="182">
        <f>IF(N17=0,0,IF(AND($D44="F-SMRA",N17=0),0,IF(AND($D44="F-SMRB",N17=0),0,IF(AND($D44="F-SMRC",N17=0),0,IF($D44=Worksheet!$A$68,Worksheet!B310,IF($D44=Worksheet!$A$69,Worksheet!B310,IF($D44=Worksheet!$A$70,Worksheet!B310,ROUND((Request!N17/Worksheet!$C$5*Worksheet!$C$9*(IF(Request!$D44=Worksheet!$A$47,Worksheet!B$47,IF(Request!$D44=Worksheet!$A$48,Worksheet!B$48,IF(Request!$D44=Worksheet!$A$49,Worksheet!B$49,IF(Request!$D44=Worksheet!$A$50,Worksheet!B$50,IF(Request!$D44=Worksheet!$A$51,Worksheet!B$51,IF(Request!$D44=Worksheet!$A$52,Worksheet!B$52,IF(Request!$D44=Worksheet!$A$53,Worksheet!B$53,IF(Request!$D44=Worksheet!$A$54,Worksheet!B$54,IF(Request!$D44=Worksheet!$A$55,Worksheet!B$55))))))))))),0)+ROUND(N17/Worksheet!$C$5*Worksheet!$C$10*(IF(Request!$D44=Worksheet!$A$47,Worksheet!C$47,IF(Request!$D44=Worksheet!$A$48,Worksheet!C$48,IF(Request!$D44=Worksheet!$A$49,Worksheet!C$49,IF(Request!$D44=Worksheet!$A$50,Worksheet!C$50,IF(Request!$D44=Worksheet!$A$51,Worksheet!C$51,IF(Request!$D44=Worksheet!$A$52,Worksheet!C$52,IF(Request!$D44=Worksheet!$A$53,Worksheet!C$53,IF(Request!$D44=Worksheet!$A$54,Worksheet!C$54,IF(Request!$D44=Worksheet!$A$55,Worksheet!C$55)))))))))),0))))))))</f>
        <v>0</v>
      </c>
      <c r="O44" s="182">
        <f>IF(O17=0,0,IF(AND($D44="F-SMRA",O17=0),0,IF(AND($D44="F-SMRB",O17=0),0,IF(AND($D44="F-SMRC",O17=0),0,IF($D44=Worksheet!$A$68,Worksheet!D310,IF($D44=Worksheet!$A$69,Worksheet!D310,IF($D44=Worksheet!$A$70,Worksheet!D310,ROUND((Request!O17/Worksheet!$D$5*Worksheet!$D$9*(IF(Request!$D44=Worksheet!$A$47,Worksheet!D$47,IF(Request!$D44=Worksheet!$A$48,Worksheet!D$48,IF(Request!$D44=Worksheet!$A$49,Worksheet!D$49,IF(Request!$D44=Worksheet!$A$50,Worksheet!D$50,IF(Request!$D44=Worksheet!$A$51,Worksheet!D$51,IF(Request!$D44=Worksheet!$A$52,Worksheet!D$52,IF(Request!$D44=Worksheet!$A$53,Worksheet!D$53,IF(Request!$D44=Worksheet!$A$54,Worksheet!D$54,IF(Request!$D44=Worksheet!$A$55,Worksheet!D$55))))))))))),0)+ROUND(O17/Worksheet!$D$5*Worksheet!$D$10*(IF(Request!$D44=Worksheet!$A$47,Worksheet!E$47,IF(Request!$D44=Worksheet!$A$48,Worksheet!E$48,IF(Request!$D44=Worksheet!$A$49,Worksheet!E$49,IF(Request!$D44=Worksheet!$A$50,Worksheet!E$50,IF(Request!$D44=Worksheet!$A$51,Worksheet!E$51,IF(Request!$D44=Worksheet!$A$52,Worksheet!E$52,IF(Request!$D44=Worksheet!$A$53,Worksheet!E$53,IF(Request!$D44=Worksheet!$A$54,Worksheet!E$54,IF(Request!$D44=Worksheet!$A$55,Worksheet!E$55)))))))))),0))))))))</f>
        <v>0</v>
      </c>
      <c r="P44" s="182">
        <f>IF(P17=0,0,IF(AND($D44="F-SMRA",P17=0),0,IF(AND($D44="F-SMRB",P17=0),0,IF(AND($D44="F-SMRC",P17=0),0,IF($D44=Worksheet!$A$68,Worksheet!F310,IF($D44=Worksheet!$A$69,Worksheet!F310,IF($D44=Worksheet!$A$70,Worksheet!F310,ROUND((Request!P17/Worksheet!$E$5*Worksheet!$E$9*(IF(Request!$D44=Worksheet!$A$47,Worksheet!F$47,IF(Request!$D44=Worksheet!$A$48,Worksheet!F$48,IF(Request!$D44=Worksheet!$A$49,Worksheet!F$49,IF(Request!$D44=Worksheet!$A$50,Worksheet!F$50,IF(Request!$D44=Worksheet!$A$51,Worksheet!F$51,IF(Request!$D44=Worksheet!$A$52,Worksheet!F$52,IF(Request!$D44=Worksheet!$A$53,Worksheet!F$53,IF(Request!$D44=Worksheet!$A$54,Worksheet!F$54,IF(Request!$D44=Worksheet!$A$55,Worksheet!F$55))))))))))),0)+ROUND(P17/Worksheet!$E$5*Worksheet!$E$10*(IF(Request!$D44=Worksheet!$A$47,Worksheet!G$47,IF(Request!$D44=Worksheet!$A$48,Worksheet!G$48,IF(Request!$D44=Worksheet!$A$49,Worksheet!G$49,IF(Request!$D44=Worksheet!$A$50,Worksheet!G$50,IF(Request!$D44=Worksheet!$A$51,Worksheet!G$51,IF(Request!$D44=Worksheet!$A$52,Worksheet!G$52,IF(Request!$D44=Worksheet!$A$53,Worksheet!G$53,IF(Request!$D44=Worksheet!$A$54,Worksheet!G$54,IF(Request!$D44=Worksheet!$A$55,Worksheet!G$55)))))))))),0))))))))</f>
        <v>0</v>
      </c>
      <c r="Q44" s="182">
        <f>IF(Q17=0,0,IF(AND($D44="F-SMRA",Q17=0),0,IF(AND($D44="F-SMRB",Q17=0),0,IF(AND($D44="F-SMRC",Q17=0),0,IF($D44=Worksheet!$A$68,Worksheet!H310,IF($D44=Worksheet!$A$69,Worksheet!H310,IF($D44=Worksheet!$A$70,Worksheet!H310,ROUND((Request!Q17/Worksheet!$F$5*Worksheet!$F$9*(IF(Request!$D44=Worksheet!$A$47,Worksheet!H$47,IF(Request!$D44=Worksheet!$A$48,Worksheet!H$48,IF(Request!$D44=Worksheet!$A$49,Worksheet!H$49,IF(Request!$D44=Worksheet!$A$50,Worksheet!H$50,IF(Request!$D44=Worksheet!$A$51,Worksheet!H$51,IF(Request!$D44=Worksheet!$A$52,Worksheet!H$52,IF(Request!$D44=Worksheet!$A$53,Worksheet!H$53,IF(Request!$D44=Worksheet!$A$54,Worksheet!H$54,IF(Request!$D44=Worksheet!$A$55,Worksheet!H$55))))))))))),0)+ROUND(Q17/Worksheet!$F$5*Worksheet!$F$10*(IF(Request!$D44=Worksheet!$A$47,Worksheet!I$47,IF(Request!$D44=Worksheet!$A$48,Worksheet!I$48,IF(Request!$D44=Worksheet!$A$49,Worksheet!I$49,IF(Request!$D44=Worksheet!$A$50,Worksheet!I$50,IF(Request!$D44=Worksheet!$A$51,Worksheet!I$51,IF(Request!$D44=Worksheet!$A$52,Worksheet!I$52,IF(Request!$D44=Worksheet!$A$53,Worksheet!I$53,IF(Request!$D44=Worksheet!$A$54,Worksheet!I$54,IF(Request!$D44=Worksheet!$A$55,Worksheet!I$55)))))))))),0))))))))</f>
        <v>0</v>
      </c>
      <c r="R44" s="182">
        <f>IF(R17=0,0,IF(AND($D44="F-SMRA",R17=0),0,IF(AND($D44="F-SMRB",R17=0),0,IF(AND($D44="F-SMRC",R17=0),0,IF($D44=Worksheet!$A$68,Worksheet!J310,IF($D44=Worksheet!$A$69,Worksheet!J310,IF($D44=Worksheet!$A$70,Worksheet!J310,ROUND((Request!R17/Worksheet!$G$5*Worksheet!$G$9*(IF(Request!$D44=Worksheet!$A$47,Worksheet!J$47,IF(Request!$D44=Worksheet!$A$48,Worksheet!J$48,IF(Request!$D44=Worksheet!$A$49,Worksheet!J$49,IF(Request!$D44=Worksheet!$A$50,Worksheet!J$50,IF(Request!$D44=Worksheet!$A$51,Worksheet!J$51,IF(Request!$D44=Worksheet!$A$52,Worksheet!J$52,IF(Request!$D44=Worksheet!$A$53,Worksheet!J$53,IF(Request!$D44=Worksheet!$A$54,Worksheet!J$54,IF(Request!$D44=Worksheet!$A$55,Worksheet!J$55))))))))))),0)+ROUND(R17/Worksheet!$G$5*Worksheet!$G$10*(IF(Request!$D44=Worksheet!$A$47,Worksheet!K$47,IF(Request!$D44=Worksheet!$A$48,Worksheet!K$48,IF(Request!$D44=Worksheet!$A$49,Worksheet!K$49,IF(Request!$D44=Worksheet!$A$50,Worksheet!K$50,IF(Request!$D44=Worksheet!$A$51,Worksheet!K$51,IF(Request!$D44=Worksheet!$A$52,Worksheet!K$52,IF(Request!$D44=Worksheet!$A$53,Worksheet!K$53,IF(Request!$D44=Worksheet!$A$54,Worksheet!K$54,IF(Request!$D44=Worksheet!$A$55,Worksheet!K$55)))))))))),0))))))))</f>
        <v>0</v>
      </c>
      <c r="S44" s="144">
        <f t="shared" si="7"/>
        <v>0</v>
      </c>
      <c r="T44" s="192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</row>
    <row r="45" spans="1:41" ht="11.45" hidden="1" x14ac:dyDescent="0.2">
      <c r="A45" s="91">
        <v>11</v>
      </c>
      <c r="B45" s="247">
        <f t="shared" si="8"/>
        <v>0</v>
      </c>
      <c r="C45" s="248"/>
      <c r="D45" s="156" t="s">
        <v>51</v>
      </c>
      <c r="E45" s="174" t="str">
        <f>IF($D45=Worksheet!$A$59,Worksheet!B$59,IF($D45=Worksheet!$A$60,Worksheet!B$60,IF($D45=Worksheet!$A$61,Worksheet!B$61,IF($D45=Worksheet!$A$62,Worksheet!B$62,IF($D45=Worksheet!$A$63,Worksheet!B$63,IF($D45=Worksheet!$A$64,Worksheet!B$64,IF($D45=Worksheet!$A$65,Worksheet!B$65,IF($D45=Worksheet!$A$66,Worksheet!B$66,IF($D45=Worksheet!$A$67,Worksheet!B$67,IF($D45=Worksheet!$A$68,Worksheet!B285,IF($D45=Worksheet!$A$69,Worksheet!B285,IF($D45=Worksheet!$A$70,Worksheet!B285,IF($D45=Worksheet!$A$71,"")))))))))))))</f>
        <v/>
      </c>
      <c r="F45" s="243" t="str">
        <f>IF($D45=Worksheet!$A$59,Worksheet!C$59,IF($D45=Worksheet!$A$60,Worksheet!C$60,IF($D45=Worksheet!$A$61,Worksheet!C$61,IF($D45=Worksheet!$A$62,Worksheet!C$62,IF($D45=Worksheet!$A$63,Worksheet!C$63,IF($D45=Worksheet!$A$64,Worksheet!C$64,IF($D45=Worksheet!$A$65,Worksheet!C$65,IF($D45=Worksheet!$A$66,Worksheet!C$66,IF($D45=Worksheet!$A$67,Worksheet!C$67,IF($D45=Worksheet!$A$68,Worksheet!D285,IF($D45=Worksheet!$A$69,Worksheet!D285,IF($D45=Worksheet!$A$70,Worksheet!D285,IF($D45=Worksheet!$A$71,"")))))))))))))</f>
        <v/>
      </c>
      <c r="G45" s="244"/>
      <c r="H45" s="274" t="str">
        <f>IF($D45=Worksheet!$A$59,Worksheet!D$59,IF($D45=Worksheet!$A$60,Worksheet!D$60,IF($D45=Worksheet!$A$61,Worksheet!D$61,IF($D45=Worksheet!$A$62,Worksheet!D$62,IF($D45=Worksheet!$A$63,Worksheet!D$63,IF($D45=Worksheet!$A$64,Worksheet!D$64,IF($D45=Worksheet!$A$65,Worksheet!D$65,IF($D45=Worksheet!$A$66,Worksheet!D$66,IF($D45=Worksheet!$A$67,Worksheet!D$67,IF($D45=Worksheet!$A$68,Worksheet!F285,IF($D45=Worksheet!$A$69,Worksheet!F285,IF($D45=Worksheet!$A$70,Worksheet!F285,IF($D45=Worksheet!$A$71,"")))))))))))))</f>
        <v/>
      </c>
      <c r="I45" s="275"/>
      <c r="J45" s="274" t="str">
        <f>IF($D45=Worksheet!$A$59,Worksheet!E$59,IF($D45=Worksheet!$A$60,Worksheet!E$60,IF($D45=Worksheet!$A$61,Worksheet!E$61,IF($D45=Worksheet!$A$62,Worksheet!E$62,IF($D45=Worksheet!$A$63,Worksheet!E$63,IF($D45=Worksheet!$A$64,Worksheet!E$64,IF($D45=Worksheet!$A$65,Worksheet!E$65,IF($D45=Worksheet!$A$66,Worksheet!E$66,IF($D45=Worksheet!$A$67,Worksheet!E$67,IF($D45=Worksheet!$A$68,Worksheet!H285,IF($D45=Worksheet!$A$69,Worksheet!H285,IF($D45=Worksheet!$A$70,Worksheet!H285,IF($D45=Worksheet!$A$71,"")))))))))))))</f>
        <v/>
      </c>
      <c r="K45" s="275"/>
      <c r="L45" s="274" t="str">
        <f>IF($D45=Worksheet!$A$59,Worksheet!F$59,IF($D45=Worksheet!$A$60,Worksheet!F$60,IF($D45=Worksheet!$A$61,Worksheet!F$61,IF($D45=Worksheet!$A$62,Worksheet!F$62,IF($D45=Worksheet!$A$63,Worksheet!F$63,IF($D45=Worksheet!$A$64,Worksheet!F$64,IF($D45=Worksheet!$A$65,Worksheet!F$65,IF($D45=Worksheet!$A$66,Worksheet!F$66,IF($D45=Worksheet!$A$67,Worksheet!F$67,IF($D45=Worksheet!$A$68,Worksheet!J285,IF($D45=Worksheet!$A$69,Worksheet!J285,IF($D45=Worksheet!$A$70,Worksheet!J285,IF($D45=Worksheet!$A$71,"")))))))))))))</f>
        <v/>
      </c>
      <c r="M45" s="275"/>
      <c r="N45" s="200">
        <f>IF(N18=0,0,IF(AND($D45="F-SMRA",N18=0),0,IF(AND($D45="F-SMRB",N18=0),0,IF(AND($D45="F-SMRC",N18=0),0,IF($D45=Worksheet!$A$68,Worksheet!B311,IF($D45=Worksheet!$A$69,Worksheet!B311,IF($D45=Worksheet!$A$70,Worksheet!B311,ROUND((Request!N18/Worksheet!$C$5*Worksheet!$C$9*(IF(Request!$D45=Worksheet!$A$47,Worksheet!B$47,IF(Request!$D45=Worksheet!$A$48,Worksheet!B$48,IF(Request!$D45=Worksheet!$A$49,Worksheet!B$49,IF(Request!$D45=Worksheet!$A$50,Worksheet!B$50,IF(Request!$D45=Worksheet!$A$51,Worksheet!B$51,IF(Request!$D45=Worksheet!$A$52,Worksheet!B$52,IF(Request!$D45=Worksheet!$A$53,Worksheet!B$53,IF(Request!$D45=Worksheet!$A$54,Worksheet!B$54,IF(Request!$D45=Worksheet!$A$55,Worksheet!B$55))))))))))),0)+ROUND(N18/Worksheet!$C$5*Worksheet!$C$10*(IF(Request!$D45=Worksheet!$A$47,Worksheet!C$47,IF(Request!$D45=Worksheet!$A$48,Worksheet!C$48,IF(Request!$D45=Worksheet!$A$49,Worksheet!C$49,IF(Request!$D45=Worksheet!$A$50,Worksheet!C$50,IF(Request!$D45=Worksheet!$A$51,Worksheet!C$51,IF(Request!$D45=Worksheet!$A$52,Worksheet!C$52,IF(Request!$D45=Worksheet!$A$53,Worksheet!C$53,IF(Request!$D45=Worksheet!$A$54,Worksheet!C$54,IF(Request!$D45=Worksheet!$A$55,Worksheet!C$55)))))))))),0))))))))</f>
        <v>0</v>
      </c>
      <c r="O45" s="182">
        <f>IF(O18=0,0,IF(AND($D45="F-SMRA",O18=0),0,IF(AND($D45="F-SMRB",O18=0),0,IF(AND($D45="F-SMRC",O18=0),0,IF($D45=Worksheet!$A$68,Worksheet!D311,IF($D45=Worksheet!$A$69,Worksheet!D311,IF($D45=Worksheet!$A$70,Worksheet!D311,ROUND((Request!O18/Worksheet!$D$5*Worksheet!$D$9*(IF(Request!$D45=Worksheet!$A$47,Worksheet!D$47,IF(Request!$D45=Worksheet!$A$48,Worksheet!D$48,IF(Request!$D45=Worksheet!$A$49,Worksheet!D$49,IF(Request!$D45=Worksheet!$A$50,Worksheet!D$50,IF(Request!$D45=Worksheet!$A$51,Worksheet!D$51,IF(Request!$D45=Worksheet!$A$52,Worksheet!D$52,IF(Request!$D45=Worksheet!$A$53,Worksheet!D$53,IF(Request!$D45=Worksheet!$A$54,Worksheet!D$54,IF(Request!$D45=Worksheet!$A$55,Worksheet!D$55))))))))))),0)+ROUND(O18/Worksheet!$D$5*Worksheet!$D$10*(IF(Request!$D45=Worksheet!$A$47,Worksheet!E$47,IF(Request!$D45=Worksheet!$A$48,Worksheet!E$48,IF(Request!$D45=Worksheet!$A$49,Worksheet!E$49,IF(Request!$D45=Worksheet!$A$50,Worksheet!E$50,IF(Request!$D45=Worksheet!$A$51,Worksheet!E$51,IF(Request!$D45=Worksheet!$A$52,Worksheet!E$52,IF(Request!$D45=Worksheet!$A$53,Worksheet!E$53,IF(Request!$D45=Worksheet!$A$54,Worksheet!E$54,IF(Request!$D45=Worksheet!$A$55,Worksheet!E$55)))))))))),0))))))))</f>
        <v>0</v>
      </c>
      <c r="P45" s="182">
        <f>IF(P18=0,0,IF(AND($D45="F-SMRA",P18=0),0,IF(AND($D45="F-SMRB",P18=0),0,IF(AND($D45="F-SMRC",P18=0),0,IF($D45=Worksheet!$A$68,Worksheet!F311,IF($D45=Worksheet!$A$69,Worksheet!F311,IF($D45=Worksheet!$A$70,Worksheet!F311,ROUND((Request!P18/Worksheet!$E$5*Worksheet!$E$9*(IF(Request!$D45=Worksheet!$A$47,Worksheet!F$47,IF(Request!$D45=Worksheet!$A$48,Worksheet!F$48,IF(Request!$D45=Worksheet!$A$49,Worksheet!F$49,IF(Request!$D45=Worksheet!$A$50,Worksheet!F$50,IF(Request!$D45=Worksheet!$A$51,Worksheet!F$51,IF(Request!$D45=Worksheet!$A$52,Worksheet!F$52,IF(Request!$D45=Worksheet!$A$53,Worksheet!F$53,IF(Request!$D45=Worksheet!$A$54,Worksheet!F$54,IF(Request!$D45=Worksheet!$A$55,Worksheet!F$55))))))))))),0)+ROUND(P18/Worksheet!$E$5*Worksheet!$E$10*(IF(Request!$D45=Worksheet!$A$47,Worksheet!G$47,IF(Request!$D45=Worksheet!$A$48,Worksheet!G$48,IF(Request!$D45=Worksheet!$A$49,Worksheet!G$49,IF(Request!$D45=Worksheet!$A$50,Worksheet!G$50,IF(Request!$D45=Worksheet!$A$51,Worksheet!G$51,IF(Request!$D45=Worksheet!$A$52,Worksheet!G$52,IF(Request!$D45=Worksheet!$A$53,Worksheet!G$53,IF(Request!$D45=Worksheet!$A$54,Worksheet!G$54,IF(Request!$D45=Worksheet!$A$55,Worksheet!G$55)))))))))),0))))))))</f>
        <v>0</v>
      </c>
      <c r="Q45" s="182">
        <f>IF(Q18=0,0,IF(AND($D45="F-SMRA",Q18=0),0,IF(AND($D45="F-SMRB",Q18=0),0,IF(AND($D45="F-SMRC",Q18=0),0,IF($D45=Worksheet!$A$68,Worksheet!H311,IF($D45=Worksheet!$A$69,Worksheet!H311,IF($D45=Worksheet!$A$70,Worksheet!H311,ROUND((Request!Q18/Worksheet!$F$5*Worksheet!$F$9*(IF(Request!$D45=Worksheet!$A$47,Worksheet!H$47,IF(Request!$D45=Worksheet!$A$48,Worksheet!H$48,IF(Request!$D45=Worksheet!$A$49,Worksheet!H$49,IF(Request!$D45=Worksheet!$A$50,Worksheet!H$50,IF(Request!$D45=Worksheet!$A$51,Worksheet!H$51,IF(Request!$D45=Worksheet!$A$52,Worksheet!H$52,IF(Request!$D45=Worksheet!$A$53,Worksheet!H$53,IF(Request!$D45=Worksheet!$A$54,Worksheet!H$54,IF(Request!$D45=Worksheet!$A$55,Worksheet!H$55))))))))))),0)+ROUND(Q18/Worksheet!$F$5*Worksheet!$F$10*(IF(Request!$D45=Worksheet!$A$47,Worksheet!I$47,IF(Request!$D45=Worksheet!$A$48,Worksheet!I$48,IF(Request!$D45=Worksheet!$A$49,Worksheet!I$49,IF(Request!$D45=Worksheet!$A$50,Worksheet!I$50,IF(Request!$D45=Worksheet!$A$51,Worksheet!I$51,IF(Request!$D45=Worksheet!$A$52,Worksheet!I$52,IF(Request!$D45=Worksheet!$A$53,Worksheet!I$53,IF(Request!$D45=Worksheet!$A$54,Worksheet!I$54,IF(Request!$D45=Worksheet!$A$55,Worksheet!I$55)))))))))),0))))))))</f>
        <v>0</v>
      </c>
      <c r="R45" s="182">
        <f>IF(R18=0,0,IF(AND($D45="F-SMRA",R18=0),0,IF(AND($D45="F-SMRB",R18=0),0,IF(AND($D45="F-SMRC",R18=0),0,IF($D45=Worksheet!$A$68,Worksheet!J311,IF($D45=Worksheet!$A$69,Worksheet!J311,IF($D45=Worksheet!$A$70,Worksheet!J311,ROUND((Request!R18/Worksheet!$G$5*Worksheet!$G$9*(IF(Request!$D45=Worksheet!$A$47,Worksheet!J$47,IF(Request!$D45=Worksheet!$A$48,Worksheet!J$48,IF(Request!$D45=Worksheet!$A$49,Worksheet!J$49,IF(Request!$D45=Worksheet!$A$50,Worksheet!J$50,IF(Request!$D45=Worksheet!$A$51,Worksheet!J$51,IF(Request!$D45=Worksheet!$A$52,Worksheet!J$52,IF(Request!$D45=Worksheet!$A$53,Worksheet!J$53,IF(Request!$D45=Worksheet!$A$54,Worksheet!J$54,IF(Request!$D45=Worksheet!$A$55,Worksheet!J$55))))))))))),0)+ROUND(R18/Worksheet!$G$5*Worksheet!$G$10*(IF(Request!$D45=Worksheet!$A$47,Worksheet!K$47,IF(Request!$D45=Worksheet!$A$48,Worksheet!K$48,IF(Request!$D45=Worksheet!$A$49,Worksheet!K$49,IF(Request!$D45=Worksheet!$A$50,Worksheet!K$50,IF(Request!$D45=Worksheet!$A$51,Worksheet!K$51,IF(Request!$D45=Worksheet!$A$52,Worksheet!K$52,IF(Request!$D45=Worksheet!$A$53,Worksheet!K$53,IF(Request!$D45=Worksheet!$A$54,Worksheet!K$54,IF(Request!$D45=Worksheet!$A$55,Worksheet!K$55)))))))))),0))))))))</f>
        <v>0</v>
      </c>
      <c r="S45" s="144">
        <f t="shared" si="7"/>
        <v>0</v>
      </c>
      <c r="T45" s="192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</row>
    <row r="46" spans="1:41" ht="11.45" hidden="1" x14ac:dyDescent="0.2">
      <c r="A46" s="91">
        <v>12</v>
      </c>
      <c r="B46" s="247">
        <f t="shared" si="8"/>
        <v>0</v>
      </c>
      <c r="C46" s="248"/>
      <c r="D46" s="156" t="s">
        <v>51</v>
      </c>
      <c r="E46" s="174" t="str">
        <f>IF($D46=Worksheet!$A$59,Worksheet!B$59,IF($D46=Worksheet!$A$60,Worksheet!B$60,IF($D46=Worksheet!$A$61,Worksheet!B$61,IF($D46=Worksheet!$A$62,Worksheet!B$62,IF($D46=Worksheet!$A$63,Worksheet!B$63,IF($D46=Worksheet!$A$64,Worksheet!B$64,IF($D46=Worksheet!$A$65,Worksheet!B$65,IF($D46=Worksheet!$A$66,Worksheet!B$66,IF($D46=Worksheet!$A$67,Worksheet!B$67,IF($D46=Worksheet!$A$68,Worksheet!B286,IF($D46=Worksheet!$A$69,Worksheet!B286,IF($D46=Worksheet!$A$70,Worksheet!B286,IF($D46=Worksheet!$A$71,"")))))))))))))</f>
        <v/>
      </c>
      <c r="F46" s="243" t="str">
        <f>IF($D46=Worksheet!$A$59,Worksheet!C$59,IF($D46=Worksheet!$A$60,Worksheet!C$60,IF($D46=Worksheet!$A$61,Worksheet!C$61,IF($D46=Worksheet!$A$62,Worksheet!C$62,IF($D46=Worksheet!$A$63,Worksheet!C$63,IF($D46=Worksheet!$A$64,Worksheet!C$64,IF($D46=Worksheet!$A$65,Worksheet!C$65,IF($D46=Worksheet!$A$66,Worksheet!C$66,IF($D46=Worksheet!$A$67,Worksheet!C$67,IF($D46=Worksheet!$A$68,Worksheet!D286,IF($D46=Worksheet!$A$69,Worksheet!D286,IF($D46=Worksheet!$A$70,Worksheet!D286,IF($D46=Worksheet!$A$71,"")))))))))))))</f>
        <v/>
      </c>
      <c r="G46" s="244"/>
      <c r="H46" s="274" t="str">
        <f>IF($D46=Worksheet!$A$59,Worksheet!D$59,IF($D46=Worksheet!$A$60,Worksheet!D$60,IF($D46=Worksheet!$A$61,Worksheet!D$61,IF($D46=Worksheet!$A$62,Worksheet!D$62,IF($D46=Worksheet!$A$63,Worksheet!D$63,IF($D46=Worksheet!$A$64,Worksheet!D$64,IF($D46=Worksheet!$A$65,Worksheet!D$65,IF($D46=Worksheet!$A$66,Worksheet!D$66,IF($D46=Worksheet!$A$67,Worksheet!D$67,IF($D46=Worksheet!$A$68,Worksheet!F286,IF($D46=Worksheet!$A$69,Worksheet!F286,IF($D46=Worksheet!$A$70,Worksheet!F286,IF($D46=Worksheet!$A$71,"")))))))))))))</f>
        <v/>
      </c>
      <c r="I46" s="275"/>
      <c r="J46" s="274" t="str">
        <f>IF($D46=Worksheet!$A$59,Worksheet!E$59,IF($D46=Worksheet!$A$60,Worksheet!E$60,IF($D46=Worksheet!$A$61,Worksheet!E$61,IF($D46=Worksheet!$A$62,Worksheet!E$62,IF($D46=Worksheet!$A$63,Worksheet!E$63,IF($D46=Worksheet!$A$64,Worksheet!E$64,IF($D46=Worksheet!$A$65,Worksheet!E$65,IF($D46=Worksheet!$A$66,Worksheet!E$66,IF($D46=Worksheet!$A$67,Worksheet!E$67,IF($D46=Worksheet!$A$68,Worksheet!H286,IF($D46=Worksheet!$A$69,Worksheet!H286,IF($D46=Worksheet!$A$70,Worksheet!H286,IF($D46=Worksheet!$A$71,"")))))))))))))</f>
        <v/>
      </c>
      <c r="K46" s="275"/>
      <c r="L46" s="274" t="str">
        <f>IF($D46=Worksheet!$A$59,Worksheet!F$59,IF($D46=Worksheet!$A$60,Worksheet!F$60,IF($D46=Worksheet!$A$61,Worksheet!F$61,IF($D46=Worksheet!$A$62,Worksheet!F$62,IF($D46=Worksheet!$A$63,Worksheet!F$63,IF($D46=Worksheet!$A$64,Worksheet!F$64,IF($D46=Worksheet!$A$65,Worksheet!F$65,IF($D46=Worksheet!$A$66,Worksheet!F$66,IF($D46=Worksheet!$A$67,Worksheet!F$67,IF($D46=Worksheet!$A$68,Worksheet!J286,IF($D46=Worksheet!$A$69,Worksheet!J286,IF($D46=Worksheet!$A$70,Worksheet!J286,IF($D46=Worksheet!$A$71,"")))))))))))))</f>
        <v/>
      </c>
      <c r="M46" s="275"/>
      <c r="N46" s="182">
        <f>IF(N19=0,0,IF(AND($D46="F-SMRA",N19=0),0,IF(AND($D46="F-SMRB",N19=0),0,IF(AND($D46="F-SMRC",N19=0),0,IF($D46=Worksheet!$A$68,Worksheet!B312,IF($D46=Worksheet!$A$69,Worksheet!B312,IF($D46=Worksheet!$A$70,Worksheet!B312,ROUND((Request!N19/Worksheet!$C$5*Worksheet!$C$9*(IF(Request!$D46=Worksheet!$A$47,Worksheet!B$47,IF(Request!$D46=Worksheet!$A$48,Worksheet!B$48,IF(Request!$D46=Worksheet!$A$49,Worksheet!B$49,IF(Request!$D46=Worksheet!$A$50,Worksheet!B$50,IF(Request!$D46=Worksheet!$A$51,Worksheet!B$51,IF(Request!$D46=Worksheet!$A$52,Worksheet!B$52,IF(Request!$D46=Worksheet!$A$53,Worksheet!B$53,IF(Request!$D46=Worksheet!$A$54,Worksheet!B$54,IF(Request!$D46=Worksheet!$A$55,Worksheet!B$55))))))))))),0)+ROUND(N19/Worksheet!$C$5*Worksheet!$C$10*(IF(Request!$D46=Worksheet!$A$47,Worksheet!C$47,IF(Request!$D46=Worksheet!$A$48,Worksheet!C$48,IF(Request!$D46=Worksheet!$A$49,Worksheet!C$49,IF(Request!$D46=Worksheet!$A$50,Worksheet!C$50,IF(Request!$D46=Worksheet!$A$51,Worksheet!C$51,IF(Request!$D46=Worksheet!$A$52,Worksheet!C$52,IF(Request!$D46=Worksheet!$A$53,Worksheet!C$53,IF(Request!$D46=Worksheet!$A$54,Worksheet!C$54,IF(Request!$D46=Worksheet!$A$55,Worksheet!C$55)))))))))),0))))))))</f>
        <v>0</v>
      </c>
      <c r="O46" s="182">
        <f>IF(O19=0,0,IF(AND($D46="F-SMRA",O19=0),0,IF(AND($D46="F-SMRB",O19=0),0,IF(AND($D46="F-SMRC",O19=0),0,IF($D46=Worksheet!$A$68,Worksheet!D312,IF($D46=Worksheet!$A$69,Worksheet!D312,IF($D46=Worksheet!$A$70,Worksheet!D312,ROUND((Request!O19/Worksheet!$D$5*Worksheet!$D$9*(IF(Request!$D46=Worksheet!$A$47,Worksheet!D$47,IF(Request!$D46=Worksheet!$A$48,Worksheet!D$48,IF(Request!$D46=Worksheet!$A$49,Worksheet!D$49,IF(Request!$D46=Worksheet!$A$50,Worksheet!D$50,IF(Request!$D46=Worksheet!$A$51,Worksheet!D$51,IF(Request!$D46=Worksheet!$A$52,Worksheet!D$52,IF(Request!$D46=Worksheet!$A$53,Worksheet!D$53,IF(Request!$D46=Worksheet!$A$54,Worksheet!D$54,IF(Request!$D46=Worksheet!$A$55,Worksheet!D$55))))))))))),0)+ROUND(O19/Worksheet!$D$5*Worksheet!$D$10*(IF(Request!$D46=Worksheet!$A$47,Worksheet!E$47,IF(Request!$D46=Worksheet!$A$48,Worksheet!E$48,IF(Request!$D46=Worksheet!$A$49,Worksheet!E$49,IF(Request!$D46=Worksheet!$A$50,Worksheet!E$50,IF(Request!$D46=Worksheet!$A$51,Worksheet!E$51,IF(Request!$D46=Worksheet!$A$52,Worksheet!E$52,IF(Request!$D46=Worksheet!$A$53,Worksheet!E$53,IF(Request!$D46=Worksheet!$A$54,Worksheet!E$54,IF(Request!$D46=Worksheet!$A$55,Worksheet!E$55)))))))))),0))))))))</f>
        <v>0</v>
      </c>
      <c r="P46" s="182">
        <f>IF(P19=0,0,IF(AND($D46="F-SMRA",P19=0),0,IF(AND($D46="F-SMRB",P19=0),0,IF(AND($D46="F-SMRC",P19=0),0,IF($D46=Worksheet!$A$68,Worksheet!F312,IF($D46=Worksheet!$A$69,Worksheet!F312,IF($D46=Worksheet!$A$70,Worksheet!F312,ROUND((Request!P19/Worksheet!$E$5*Worksheet!$E$9*(IF(Request!$D46=Worksheet!$A$47,Worksheet!F$47,IF(Request!$D46=Worksheet!$A$48,Worksheet!F$48,IF(Request!$D46=Worksheet!$A$49,Worksheet!F$49,IF(Request!$D46=Worksheet!$A$50,Worksheet!F$50,IF(Request!$D46=Worksheet!$A$51,Worksheet!F$51,IF(Request!$D46=Worksheet!$A$52,Worksheet!F$52,IF(Request!$D46=Worksheet!$A$53,Worksheet!F$53,IF(Request!$D46=Worksheet!$A$54,Worksheet!F$54,IF(Request!$D46=Worksheet!$A$55,Worksheet!F$55))))))))))),0)+ROUND(P19/Worksheet!$E$5*Worksheet!$E$10*(IF(Request!$D46=Worksheet!$A$47,Worksheet!G$47,IF(Request!$D46=Worksheet!$A$48,Worksheet!G$48,IF(Request!$D46=Worksheet!$A$49,Worksheet!G$49,IF(Request!$D46=Worksheet!$A$50,Worksheet!G$50,IF(Request!$D46=Worksheet!$A$51,Worksheet!G$51,IF(Request!$D46=Worksheet!$A$52,Worksheet!G$52,IF(Request!$D46=Worksheet!$A$53,Worksheet!G$53,IF(Request!$D46=Worksheet!$A$54,Worksheet!G$54,IF(Request!$D46=Worksheet!$A$55,Worksheet!G$55)))))))))),0))))))))</f>
        <v>0</v>
      </c>
      <c r="Q46" s="182">
        <f>IF(Q19=0,0,IF(AND($D46="F-SMRA",Q19=0),0,IF(AND($D46="F-SMRB",Q19=0),0,IF(AND($D46="F-SMRC",Q19=0),0,IF($D46=Worksheet!$A$68,Worksheet!H312,IF($D46=Worksheet!$A$69,Worksheet!H312,IF($D46=Worksheet!$A$70,Worksheet!H312,ROUND((Request!Q19/Worksheet!$F$5*Worksheet!$F$9*(IF(Request!$D46=Worksheet!$A$47,Worksheet!H$47,IF(Request!$D46=Worksheet!$A$48,Worksheet!H$48,IF(Request!$D46=Worksheet!$A$49,Worksheet!H$49,IF(Request!$D46=Worksheet!$A$50,Worksheet!H$50,IF(Request!$D46=Worksheet!$A$51,Worksheet!H$51,IF(Request!$D46=Worksheet!$A$52,Worksheet!H$52,IF(Request!$D46=Worksheet!$A$53,Worksheet!H$53,IF(Request!$D46=Worksheet!$A$54,Worksheet!H$54,IF(Request!$D46=Worksheet!$A$55,Worksheet!H$55))))))))))),0)+ROUND(Q19/Worksheet!$F$5*Worksheet!$F$10*(IF(Request!$D46=Worksheet!$A$47,Worksheet!I$47,IF(Request!$D46=Worksheet!$A$48,Worksheet!I$48,IF(Request!$D46=Worksheet!$A$49,Worksheet!I$49,IF(Request!$D46=Worksheet!$A$50,Worksheet!I$50,IF(Request!$D46=Worksheet!$A$51,Worksheet!I$51,IF(Request!$D46=Worksheet!$A$52,Worksheet!I$52,IF(Request!$D46=Worksheet!$A$53,Worksheet!I$53,IF(Request!$D46=Worksheet!$A$54,Worksheet!I$54,IF(Request!$D46=Worksheet!$A$55,Worksheet!I$55)))))))))),0))))))))</f>
        <v>0</v>
      </c>
      <c r="R46" s="182">
        <f>IF(R19=0,0,IF(AND($D46="F-SMRA",R19=0),0,IF(AND($D46="F-SMRB",R19=0),0,IF(AND($D46="F-SMRC",R19=0),0,IF($D46=Worksheet!$A$68,Worksheet!J312,IF($D46=Worksheet!$A$69,Worksheet!J312,IF($D46=Worksheet!$A$70,Worksheet!J312,ROUND((Request!R19/Worksheet!$G$5*Worksheet!$G$9*(IF(Request!$D46=Worksheet!$A$47,Worksheet!J$47,IF(Request!$D46=Worksheet!$A$48,Worksheet!J$48,IF(Request!$D46=Worksheet!$A$49,Worksheet!J$49,IF(Request!$D46=Worksheet!$A$50,Worksheet!J$50,IF(Request!$D46=Worksheet!$A$51,Worksheet!J$51,IF(Request!$D46=Worksheet!$A$52,Worksheet!J$52,IF(Request!$D46=Worksheet!$A$53,Worksheet!J$53,IF(Request!$D46=Worksheet!$A$54,Worksheet!J$54,IF(Request!$D46=Worksheet!$A$55,Worksheet!J$55))))))))))),0)+ROUND(R19/Worksheet!$G$5*Worksheet!$G$10*(IF(Request!$D46=Worksheet!$A$47,Worksheet!K$47,IF(Request!$D46=Worksheet!$A$48,Worksheet!K$48,IF(Request!$D46=Worksheet!$A$49,Worksheet!K$49,IF(Request!$D46=Worksheet!$A$50,Worksheet!K$50,IF(Request!$D46=Worksheet!$A$51,Worksheet!K$51,IF(Request!$D46=Worksheet!$A$52,Worksheet!K$52,IF(Request!$D46=Worksheet!$A$53,Worksheet!K$53,IF(Request!$D46=Worksheet!$A$54,Worksheet!K$54,IF(Request!$D46=Worksheet!$A$55,Worksheet!K$55)))))))))),0))))))))</f>
        <v>0</v>
      </c>
      <c r="S46" s="144">
        <f t="shared" si="7"/>
        <v>0</v>
      </c>
      <c r="T46" s="192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</row>
    <row r="47" spans="1:41" ht="11.45" hidden="1" x14ac:dyDescent="0.2">
      <c r="A47" s="91">
        <v>13</v>
      </c>
      <c r="B47" s="247">
        <f t="shared" si="8"/>
        <v>0</v>
      </c>
      <c r="C47" s="248"/>
      <c r="D47" s="156" t="s">
        <v>51</v>
      </c>
      <c r="E47" s="174" t="str">
        <f>IF($D47=Worksheet!$A$59,Worksheet!B$59,IF($D47=Worksheet!$A$60,Worksheet!B$60,IF($D47=Worksheet!$A$61,Worksheet!B$61,IF($D47=Worksheet!$A$62,Worksheet!B$62,IF($D47=Worksheet!$A$63,Worksheet!B$63,IF($D47=Worksheet!$A$64,Worksheet!B$64,IF($D47=Worksheet!$A$65,Worksheet!B$65,IF($D47=Worksheet!$A$66,Worksheet!B$66,IF($D47=Worksheet!$A$67,Worksheet!B$67,IF($D47=Worksheet!$A$68,Worksheet!B287,IF($D47=Worksheet!$A$69,Worksheet!B287,IF($D47=Worksheet!$A$70,Worksheet!B287,IF($D47=Worksheet!$A$71,"")))))))))))))</f>
        <v/>
      </c>
      <c r="F47" s="243" t="str">
        <f>IF($D47=Worksheet!$A$59,Worksheet!C$59,IF($D47=Worksheet!$A$60,Worksheet!C$60,IF($D47=Worksheet!$A$61,Worksheet!C$61,IF($D47=Worksheet!$A$62,Worksheet!C$62,IF($D47=Worksheet!$A$63,Worksheet!C$63,IF($D47=Worksheet!$A$64,Worksheet!C$64,IF($D47=Worksheet!$A$65,Worksheet!C$65,IF($D47=Worksheet!$A$66,Worksheet!C$66,IF($D47=Worksheet!$A$67,Worksheet!C$67,IF($D47=Worksheet!$A$68,Worksheet!D287,IF($D47=Worksheet!$A$69,Worksheet!D287,IF($D47=Worksheet!$A$70,Worksheet!D287,IF($D47=Worksheet!$A$71,"")))))))))))))</f>
        <v/>
      </c>
      <c r="G47" s="244"/>
      <c r="H47" s="274" t="str">
        <f>IF($D47=Worksheet!$A$59,Worksheet!D$59,IF($D47=Worksheet!$A$60,Worksheet!D$60,IF($D47=Worksheet!$A$61,Worksheet!D$61,IF($D47=Worksheet!$A$62,Worksheet!D$62,IF($D47=Worksheet!$A$63,Worksheet!D$63,IF($D47=Worksheet!$A$64,Worksheet!D$64,IF($D47=Worksheet!$A$65,Worksheet!D$65,IF($D47=Worksheet!$A$66,Worksheet!D$66,IF($D47=Worksheet!$A$67,Worksheet!D$67,IF($D47=Worksheet!$A$68,Worksheet!F287,IF($D47=Worksheet!$A$69,Worksheet!F287,IF($D47=Worksheet!$A$70,Worksheet!F287,IF($D47=Worksheet!$A$71,"")))))))))))))</f>
        <v/>
      </c>
      <c r="I47" s="275"/>
      <c r="J47" s="274" t="str">
        <f>IF($D47=Worksheet!$A$59,Worksheet!E$59,IF($D47=Worksheet!$A$60,Worksheet!E$60,IF($D47=Worksheet!$A$61,Worksheet!E$61,IF($D47=Worksheet!$A$62,Worksheet!E$62,IF($D47=Worksheet!$A$63,Worksheet!E$63,IF($D47=Worksheet!$A$64,Worksheet!E$64,IF($D47=Worksheet!$A$65,Worksheet!E$65,IF($D47=Worksheet!$A$66,Worksheet!E$66,IF($D47=Worksheet!$A$67,Worksheet!E$67,IF($D47=Worksheet!$A$68,Worksheet!H287,IF($D47=Worksheet!$A$69,Worksheet!H287,IF($D47=Worksheet!$A$70,Worksheet!H287,IF($D47=Worksheet!$A$71,"")))))))))))))</f>
        <v/>
      </c>
      <c r="K47" s="275"/>
      <c r="L47" s="274" t="str">
        <f>IF($D47=Worksheet!$A$59,Worksheet!F$59,IF($D47=Worksheet!$A$60,Worksheet!F$60,IF($D47=Worksheet!$A$61,Worksheet!F$61,IF($D47=Worksheet!$A$62,Worksheet!F$62,IF($D47=Worksheet!$A$63,Worksheet!F$63,IF($D47=Worksheet!$A$64,Worksheet!F$64,IF($D47=Worksheet!$A$65,Worksheet!F$65,IF($D47=Worksheet!$A$66,Worksheet!F$66,IF($D47=Worksheet!$A$67,Worksheet!F$67,IF($D47=Worksheet!$A$68,Worksheet!J287,IF($D47=Worksheet!$A$69,Worksheet!J287,IF($D47=Worksheet!$A$70,Worksheet!J287,IF($D47=Worksheet!$A$71,"")))))))))))))</f>
        <v/>
      </c>
      <c r="M47" s="275"/>
      <c r="N47" s="182">
        <f>IF(N20=0,0,IF(AND($D47="F-SMRA",N20=0),0,IF(AND($D47="F-SMRB",N20=0),0,IF(AND($D47="F-SMRC",N20=0),0,IF($D47=Worksheet!$A$68,Worksheet!B313,IF($D47=Worksheet!$A$69,Worksheet!B313,IF($D47=Worksheet!$A$70,Worksheet!B313,ROUND((Request!N20/Worksheet!$C$5*Worksheet!$C$9*(IF(Request!$D47=Worksheet!$A$47,Worksheet!B$47,IF(Request!$D47=Worksheet!$A$48,Worksheet!B$48,IF(Request!$D47=Worksheet!$A$49,Worksheet!B$49,IF(Request!$D47=Worksheet!$A$50,Worksheet!B$50,IF(Request!$D47=Worksheet!$A$51,Worksheet!B$51,IF(Request!$D47=Worksheet!$A$52,Worksheet!B$52,IF(Request!$D47=Worksheet!$A$53,Worksheet!B$53,IF(Request!$D47=Worksheet!$A$54,Worksheet!B$54,IF(Request!$D47=Worksheet!$A$55,Worksheet!B$55))))))))))),0)+ROUND(N20/Worksheet!$C$5*Worksheet!$C$10*(IF(Request!$D47=Worksheet!$A$47,Worksheet!C$47,IF(Request!$D47=Worksheet!$A$48,Worksheet!C$48,IF(Request!$D47=Worksheet!$A$49,Worksheet!C$49,IF(Request!$D47=Worksheet!$A$50,Worksheet!C$50,IF(Request!$D47=Worksheet!$A$51,Worksheet!C$51,IF(Request!$D47=Worksheet!$A$52,Worksheet!C$52,IF(Request!$D47=Worksheet!$A$53,Worksheet!C$53,IF(Request!$D47=Worksheet!$A$54,Worksheet!C$54,IF(Request!$D47=Worksheet!$A$55,Worksheet!C$55)))))))))),0))))))))</f>
        <v>0</v>
      </c>
      <c r="O47" s="182">
        <f>IF(O20=0,0,IF(AND($D47="F-SMRA",O20=0),0,IF(AND($D47="F-SMRB",O20=0),0,IF(AND($D47="F-SMRC",O20=0),0,IF($D47=Worksheet!$A$68,Worksheet!D313,IF($D47=Worksheet!$A$69,Worksheet!D313,IF($D47=Worksheet!$A$70,Worksheet!D313,ROUND((Request!O20/Worksheet!$D$5*Worksheet!$D$9*(IF(Request!$D47=Worksheet!$A$47,Worksheet!D$47,IF(Request!$D47=Worksheet!$A$48,Worksheet!D$48,IF(Request!$D47=Worksheet!$A$49,Worksheet!D$49,IF(Request!$D47=Worksheet!$A$50,Worksheet!D$50,IF(Request!$D47=Worksheet!$A$51,Worksheet!D$51,IF(Request!$D47=Worksheet!$A$52,Worksheet!D$52,IF(Request!$D47=Worksheet!$A$53,Worksheet!D$53,IF(Request!$D47=Worksheet!$A$54,Worksheet!D$54,IF(Request!$D47=Worksheet!$A$55,Worksheet!D$55))))))))))),0)+ROUND(O20/Worksheet!$D$5*Worksheet!$D$10*(IF(Request!$D47=Worksheet!$A$47,Worksheet!E$47,IF(Request!$D47=Worksheet!$A$48,Worksheet!E$48,IF(Request!$D47=Worksheet!$A$49,Worksheet!E$49,IF(Request!$D47=Worksheet!$A$50,Worksheet!E$50,IF(Request!$D47=Worksheet!$A$51,Worksheet!E$51,IF(Request!$D47=Worksheet!$A$52,Worksheet!E$52,IF(Request!$D47=Worksheet!$A$53,Worksheet!E$53,IF(Request!$D47=Worksheet!$A$54,Worksheet!E$54,IF(Request!$D47=Worksheet!$A$55,Worksheet!E$55)))))))))),0))))))))</f>
        <v>0</v>
      </c>
      <c r="P47" s="182">
        <f>IF(P20=0,0,IF(AND($D47="F-SMRA",P20=0),0,IF(AND($D47="F-SMRB",P20=0),0,IF(AND($D47="F-SMRC",P20=0),0,IF($D47=Worksheet!$A$68,Worksheet!F313,IF($D47=Worksheet!$A$69,Worksheet!F313,IF($D47=Worksheet!$A$70,Worksheet!F313,ROUND((Request!P20/Worksheet!$E$5*Worksheet!$E$9*(IF(Request!$D47=Worksheet!$A$47,Worksheet!F$47,IF(Request!$D47=Worksheet!$A$48,Worksheet!F$48,IF(Request!$D47=Worksheet!$A$49,Worksheet!F$49,IF(Request!$D47=Worksheet!$A$50,Worksheet!F$50,IF(Request!$D47=Worksheet!$A$51,Worksheet!F$51,IF(Request!$D47=Worksheet!$A$52,Worksheet!F$52,IF(Request!$D47=Worksheet!$A$53,Worksheet!F$53,IF(Request!$D47=Worksheet!$A$54,Worksheet!F$54,IF(Request!$D47=Worksheet!$A$55,Worksheet!F$55))))))))))),0)+ROUND(P20/Worksheet!$E$5*Worksheet!$E$10*(IF(Request!$D47=Worksheet!$A$47,Worksheet!G$47,IF(Request!$D47=Worksheet!$A$48,Worksheet!G$48,IF(Request!$D47=Worksheet!$A$49,Worksheet!G$49,IF(Request!$D47=Worksheet!$A$50,Worksheet!G$50,IF(Request!$D47=Worksheet!$A$51,Worksheet!G$51,IF(Request!$D47=Worksheet!$A$52,Worksheet!G$52,IF(Request!$D47=Worksheet!$A$53,Worksheet!G$53,IF(Request!$D47=Worksheet!$A$54,Worksheet!G$54,IF(Request!$D47=Worksheet!$A$55,Worksheet!G$55)))))))))),0))))))))</f>
        <v>0</v>
      </c>
      <c r="Q47" s="182">
        <f>IF(Q20=0,0,IF(AND($D47="F-SMRA",Q20=0),0,IF(AND($D47="F-SMRB",Q20=0),0,IF(AND($D47="F-SMRC",Q20=0),0,IF($D47=Worksheet!$A$68,Worksheet!H313,IF($D47=Worksheet!$A$69,Worksheet!H313,IF($D47=Worksheet!$A$70,Worksheet!H313,ROUND((Request!Q20/Worksheet!$F$5*Worksheet!$F$9*(IF(Request!$D47=Worksheet!$A$47,Worksheet!H$47,IF(Request!$D47=Worksheet!$A$48,Worksheet!H$48,IF(Request!$D47=Worksheet!$A$49,Worksheet!H$49,IF(Request!$D47=Worksheet!$A$50,Worksheet!H$50,IF(Request!$D47=Worksheet!$A$51,Worksheet!H$51,IF(Request!$D47=Worksheet!$A$52,Worksheet!H$52,IF(Request!$D47=Worksheet!$A$53,Worksheet!H$53,IF(Request!$D47=Worksheet!$A$54,Worksheet!H$54,IF(Request!$D47=Worksheet!$A$55,Worksheet!H$55))))))))))),0)+ROUND(Q20/Worksheet!$F$5*Worksheet!$F$10*(IF(Request!$D47=Worksheet!$A$47,Worksheet!I$47,IF(Request!$D47=Worksheet!$A$48,Worksheet!I$48,IF(Request!$D47=Worksheet!$A$49,Worksheet!I$49,IF(Request!$D47=Worksheet!$A$50,Worksheet!I$50,IF(Request!$D47=Worksheet!$A$51,Worksheet!I$51,IF(Request!$D47=Worksheet!$A$52,Worksheet!I$52,IF(Request!$D47=Worksheet!$A$53,Worksheet!I$53,IF(Request!$D47=Worksheet!$A$54,Worksheet!I$54,IF(Request!$D47=Worksheet!$A$55,Worksheet!I$55)))))))))),0))))))))</f>
        <v>0</v>
      </c>
      <c r="R47" s="182">
        <f>IF(R20=0,0,IF(AND($D47="F-SMRA",R20=0),0,IF(AND($D47="F-SMRB",R20=0),0,IF(AND($D47="F-SMRC",R20=0),0,IF($D47=Worksheet!$A$68,Worksheet!J313,IF($D47=Worksheet!$A$69,Worksheet!J313,IF($D47=Worksheet!$A$70,Worksheet!J313,ROUND((Request!R20/Worksheet!$G$5*Worksheet!$G$9*(IF(Request!$D47=Worksheet!$A$47,Worksheet!J$47,IF(Request!$D47=Worksheet!$A$48,Worksheet!J$48,IF(Request!$D47=Worksheet!$A$49,Worksheet!J$49,IF(Request!$D47=Worksheet!$A$50,Worksheet!J$50,IF(Request!$D47=Worksheet!$A$51,Worksheet!J$51,IF(Request!$D47=Worksheet!$A$52,Worksheet!J$52,IF(Request!$D47=Worksheet!$A$53,Worksheet!J$53,IF(Request!$D47=Worksheet!$A$54,Worksheet!J$54,IF(Request!$D47=Worksheet!$A$55,Worksheet!J$55))))))))))),0)+ROUND(R20/Worksheet!$G$5*Worksheet!$G$10*(IF(Request!$D47=Worksheet!$A$47,Worksheet!K$47,IF(Request!$D47=Worksheet!$A$48,Worksheet!K$48,IF(Request!$D47=Worksheet!$A$49,Worksheet!K$49,IF(Request!$D47=Worksheet!$A$50,Worksheet!K$50,IF(Request!$D47=Worksheet!$A$51,Worksheet!K$51,IF(Request!$D47=Worksheet!$A$52,Worksheet!K$52,IF(Request!$D47=Worksheet!$A$53,Worksheet!K$53,IF(Request!$D47=Worksheet!$A$54,Worksheet!K$54,IF(Request!$D47=Worksheet!$A$55,Worksheet!K$55)))))))))),0))))))))</f>
        <v>0</v>
      </c>
      <c r="S47" s="144">
        <f t="shared" si="7"/>
        <v>0</v>
      </c>
      <c r="T47" s="192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</row>
    <row r="48" spans="1:41" ht="11.45" hidden="1" x14ac:dyDescent="0.2">
      <c r="A48" s="91">
        <v>14</v>
      </c>
      <c r="B48" s="247">
        <f t="shared" si="8"/>
        <v>0</v>
      </c>
      <c r="C48" s="248"/>
      <c r="D48" s="156" t="s">
        <v>51</v>
      </c>
      <c r="E48" s="174" t="str">
        <f>IF($D48=Worksheet!$A$59,Worksheet!B$59,IF($D48=Worksheet!$A$60,Worksheet!B$60,IF($D48=Worksheet!$A$61,Worksheet!B$61,IF($D48=Worksheet!$A$62,Worksheet!B$62,IF($D48=Worksheet!$A$63,Worksheet!B$63,IF($D48=Worksheet!$A$64,Worksheet!B$64,IF($D48=Worksheet!$A$65,Worksheet!B$65,IF($D48=Worksheet!$A$66,Worksheet!B$66,IF($D48=Worksheet!$A$67,Worksheet!B$67,IF($D48=Worksheet!$A$68,Worksheet!B288,IF($D48=Worksheet!$A$69,Worksheet!B288,IF($D48=Worksheet!$A$70,Worksheet!B288,IF($D48=Worksheet!$A$71,"")))))))))))))</f>
        <v/>
      </c>
      <c r="F48" s="243" t="str">
        <f>IF($D48=Worksheet!$A$59,Worksheet!C$59,IF($D48=Worksheet!$A$60,Worksheet!C$60,IF($D48=Worksheet!$A$61,Worksheet!C$61,IF($D48=Worksheet!$A$62,Worksheet!C$62,IF($D48=Worksheet!$A$63,Worksheet!C$63,IF($D48=Worksheet!$A$64,Worksheet!C$64,IF($D48=Worksheet!$A$65,Worksheet!C$65,IF($D48=Worksheet!$A$66,Worksheet!C$66,IF($D48=Worksheet!$A$67,Worksheet!C$67,IF($D48=Worksheet!$A$68,Worksheet!D288,IF($D48=Worksheet!$A$69,Worksheet!D288,IF($D48=Worksheet!$A$70,Worksheet!D288,IF($D48=Worksheet!$A$71,"")))))))))))))</f>
        <v/>
      </c>
      <c r="G48" s="244"/>
      <c r="H48" s="274" t="str">
        <f>IF($D48=Worksheet!$A$59,Worksheet!D$59,IF($D48=Worksheet!$A$60,Worksheet!D$60,IF($D48=Worksheet!$A$61,Worksheet!D$61,IF($D48=Worksheet!$A$62,Worksheet!D$62,IF($D48=Worksheet!$A$63,Worksheet!D$63,IF($D48=Worksheet!$A$64,Worksheet!D$64,IF($D48=Worksheet!$A$65,Worksheet!D$65,IF($D48=Worksheet!$A$66,Worksheet!D$66,IF($D48=Worksheet!$A$67,Worksheet!D$67,IF($D48=Worksheet!$A$68,Worksheet!F288,IF($D48=Worksheet!$A$69,Worksheet!F288,IF($D48=Worksheet!$A$70,Worksheet!F288,IF($D48=Worksheet!$A$71,"")))))))))))))</f>
        <v/>
      </c>
      <c r="I48" s="275"/>
      <c r="J48" s="274" t="str">
        <f>IF($D48=Worksheet!$A$59,Worksheet!E$59,IF($D48=Worksheet!$A$60,Worksheet!E$60,IF($D48=Worksheet!$A$61,Worksheet!E$61,IF($D48=Worksheet!$A$62,Worksheet!E$62,IF($D48=Worksheet!$A$63,Worksheet!E$63,IF($D48=Worksheet!$A$64,Worksheet!E$64,IF($D48=Worksheet!$A$65,Worksheet!E$65,IF($D48=Worksheet!$A$66,Worksheet!E$66,IF($D48=Worksheet!$A$67,Worksheet!E$67,IF($D48=Worksheet!$A$68,Worksheet!H288,IF($D48=Worksheet!$A$69,Worksheet!H288,IF($D48=Worksheet!$A$70,Worksheet!H288,IF($D48=Worksheet!$A$71,"")))))))))))))</f>
        <v/>
      </c>
      <c r="K48" s="275"/>
      <c r="L48" s="274" t="str">
        <f>IF($D48=Worksheet!$A$59,Worksheet!F$59,IF($D48=Worksheet!$A$60,Worksheet!F$60,IF($D48=Worksheet!$A$61,Worksheet!F$61,IF($D48=Worksheet!$A$62,Worksheet!F$62,IF($D48=Worksheet!$A$63,Worksheet!F$63,IF($D48=Worksheet!$A$64,Worksheet!F$64,IF($D48=Worksheet!$A$65,Worksheet!F$65,IF($D48=Worksheet!$A$66,Worksheet!F$66,IF($D48=Worksheet!$A$67,Worksheet!F$67,IF($D48=Worksheet!$A$68,Worksheet!J288,IF($D48=Worksheet!$A$69,Worksheet!J288,IF($D48=Worksheet!$A$70,Worksheet!J288,IF($D48=Worksheet!$A$71,"")))))))))))))</f>
        <v/>
      </c>
      <c r="M48" s="275"/>
      <c r="N48" s="182">
        <f>IF(N21=0,0,IF(AND($D48="F-SMRA",N21=0),0,IF(AND($D48="F-SMRB",N21=0),0,IF(AND($D48="F-SMRC",N21=0),0,IF($D48=Worksheet!$A$68,Worksheet!B314,IF($D48=Worksheet!$A$69,Worksheet!B314,IF($D48=Worksheet!$A$70,Worksheet!B314,ROUND((Request!N21/Worksheet!$C$5*Worksheet!$C$9*(IF(Request!$D48=Worksheet!$A$47,Worksheet!B$47,IF(Request!$D48=Worksheet!$A$48,Worksheet!B$48,IF(Request!$D48=Worksheet!$A$49,Worksheet!B$49,IF(Request!$D48=Worksheet!$A$50,Worksheet!B$50,IF(Request!$D48=Worksheet!$A$51,Worksheet!B$51,IF(Request!$D48=Worksheet!$A$52,Worksheet!B$52,IF(Request!$D48=Worksheet!$A$53,Worksheet!B$53,IF(Request!$D48=Worksheet!$A$54,Worksheet!B$54,IF(Request!$D48=Worksheet!$A$55,Worksheet!B$55))))))))))),0)+ROUND(N21/Worksheet!$C$5*Worksheet!$C$10*(IF(Request!$D48=Worksheet!$A$47,Worksheet!C$47,IF(Request!$D48=Worksheet!$A$48,Worksheet!C$48,IF(Request!$D48=Worksheet!$A$49,Worksheet!C$49,IF(Request!$D48=Worksheet!$A$50,Worksheet!C$50,IF(Request!$D48=Worksheet!$A$51,Worksheet!C$51,IF(Request!$D48=Worksheet!$A$52,Worksheet!C$52,IF(Request!$D48=Worksheet!$A$53,Worksheet!C$53,IF(Request!$D48=Worksheet!$A$54,Worksheet!C$54,IF(Request!$D48=Worksheet!$A$55,Worksheet!C$55)))))))))),0))))))))</f>
        <v>0</v>
      </c>
      <c r="O48" s="182">
        <f>IF(O21=0,0,IF(AND($D48="F-SMRA",O21=0),0,IF(AND($D48="F-SMRB",O21=0),0,IF(AND($D48="F-SMRC",O21=0),0,IF($D48=Worksheet!$A$68,Worksheet!D314,IF($D48=Worksheet!$A$69,Worksheet!D314,IF($D48=Worksheet!$A$70,Worksheet!D314,ROUND((Request!O21/Worksheet!$D$5*Worksheet!$D$9*(IF(Request!$D48=Worksheet!$A$47,Worksheet!D$47,IF(Request!$D48=Worksheet!$A$48,Worksheet!D$48,IF(Request!$D48=Worksheet!$A$49,Worksheet!D$49,IF(Request!$D48=Worksheet!$A$50,Worksheet!D$50,IF(Request!$D48=Worksheet!$A$51,Worksheet!D$51,IF(Request!$D48=Worksheet!$A$52,Worksheet!D$52,IF(Request!$D48=Worksheet!$A$53,Worksheet!D$53,IF(Request!$D48=Worksheet!$A$54,Worksheet!D$54,IF(Request!$D48=Worksheet!$A$55,Worksheet!D$55))))))))))),0)+ROUND(O21/Worksheet!$D$5*Worksheet!$D$10*(IF(Request!$D48=Worksheet!$A$47,Worksheet!E$47,IF(Request!$D48=Worksheet!$A$48,Worksheet!E$48,IF(Request!$D48=Worksheet!$A$49,Worksheet!E$49,IF(Request!$D48=Worksheet!$A$50,Worksheet!E$50,IF(Request!$D48=Worksheet!$A$51,Worksheet!E$51,IF(Request!$D48=Worksheet!$A$52,Worksheet!E$52,IF(Request!$D48=Worksheet!$A$53,Worksheet!E$53,IF(Request!$D48=Worksheet!$A$54,Worksheet!E$54,IF(Request!$D48=Worksheet!$A$55,Worksheet!E$55)))))))))),0))))))))</f>
        <v>0</v>
      </c>
      <c r="P48" s="182">
        <f>IF(P21=0,0,IF(AND($D48="F-SMRA",P21=0),0,IF(AND($D48="F-SMRB",P21=0),0,IF(AND($D48="F-SMRC",P21=0),0,IF($D48=Worksheet!$A$68,Worksheet!F314,IF($D48=Worksheet!$A$69,Worksheet!F314,IF($D48=Worksheet!$A$70,Worksheet!F314,ROUND((Request!P21/Worksheet!$E$5*Worksheet!$E$9*(IF(Request!$D48=Worksheet!$A$47,Worksheet!F$47,IF(Request!$D48=Worksheet!$A$48,Worksheet!F$48,IF(Request!$D48=Worksheet!$A$49,Worksheet!F$49,IF(Request!$D48=Worksheet!$A$50,Worksheet!F$50,IF(Request!$D48=Worksheet!$A$51,Worksheet!F$51,IF(Request!$D48=Worksheet!$A$52,Worksheet!F$52,IF(Request!$D48=Worksheet!$A$53,Worksheet!F$53,IF(Request!$D48=Worksheet!$A$54,Worksheet!F$54,IF(Request!$D48=Worksheet!$A$55,Worksheet!F$55))))))))))),0)+ROUND(P21/Worksheet!$E$5*Worksheet!$E$10*(IF(Request!$D48=Worksheet!$A$47,Worksheet!G$47,IF(Request!$D48=Worksheet!$A$48,Worksheet!G$48,IF(Request!$D48=Worksheet!$A$49,Worksheet!G$49,IF(Request!$D48=Worksheet!$A$50,Worksheet!G$50,IF(Request!$D48=Worksheet!$A$51,Worksheet!G$51,IF(Request!$D48=Worksheet!$A$52,Worksheet!G$52,IF(Request!$D48=Worksheet!$A$53,Worksheet!G$53,IF(Request!$D48=Worksheet!$A$54,Worksheet!G$54,IF(Request!$D48=Worksheet!$A$55,Worksheet!G$55)))))))))),0))))))))</f>
        <v>0</v>
      </c>
      <c r="Q48" s="182">
        <f>IF(Q21=0,0,IF(AND($D48="F-SMRA",Q21=0),0,IF(AND($D48="F-SMRB",Q21=0),0,IF(AND($D48="F-SMRC",Q21=0),0,IF($D48=Worksheet!$A$68,Worksheet!H314,IF($D48=Worksheet!$A$69,Worksheet!H314,IF($D48=Worksheet!$A$70,Worksheet!H314,ROUND((Request!Q21/Worksheet!$F$5*Worksheet!$F$9*(IF(Request!$D48=Worksheet!$A$47,Worksheet!H$47,IF(Request!$D48=Worksheet!$A$48,Worksheet!H$48,IF(Request!$D48=Worksheet!$A$49,Worksheet!H$49,IF(Request!$D48=Worksheet!$A$50,Worksheet!H$50,IF(Request!$D48=Worksheet!$A$51,Worksheet!H$51,IF(Request!$D48=Worksheet!$A$52,Worksheet!H$52,IF(Request!$D48=Worksheet!$A$53,Worksheet!H$53,IF(Request!$D48=Worksheet!$A$54,Worksheet!H$54,IF(Request!$D48=Worksheet!$A$55,Worksheet!H$55))))))))))),0)+ROUND(Q21/Worksheet!$F$5*Worksheet!$F$10*(IF(Request!$D48=Worksheet!$A$47,Worksheet!I$47,IF(Request!$D48=Worksheet!$A$48,Worksheet!I$48,IF(Request!$D48=Worksheet!$A$49,Worksheet!I$49,IF(Request!$D48=Worksheet!$A$50,Worksheet!I$50,IF(Request!$D48=Worksheet!$A$51,Worksheet!I$51,IF(Request!$D48=Worksheet!$A$52,Worksheet!I$52,IF(Request!$D48=Worksheet!$A$53,Worksheet!I$53,IF(Request!$D48=Worksheet!$A$54,Worksheet!I$54,IF(Request!$D48=Worksheet!$A$55,Worksheet!I$55)))))))))),0))))))))</f>
        <v>0</v>
      </c>
      <c r="R48" s="182">
        <f>IF(R21=0,0,IF(AND($D48="F-SMRA",R21=0),0,IF(AND($D48="F-SMRB",R21=0),0,IF(AND($D48="F-SMRC",R21=0),0,IF($D48=Worksheet!$A$68,Worksheet!J314,IF($D48=Worksheet!$A$69,Worksheet!J314,IF($D48=Worksheet!$A$70,Worksheet!J314,ROUND((Request!R21/Worksheet!$G$5*Worksheet!$G$9*(IF(Request!$D48=Worksheet!$A$47,Worksheet!J$47,IF(Request!$D48=Worksheet!$A$48,Worksheet!J$48,IF(Request!$D48=Worksheet!$A$49,Worksheet!J$49,IF(Request!$D48=Worksheet!$A$50,Worksheet!J$50,IF(Request!$D48=Worksheet!$A$51,Worksheet!J$51,IF(Request!$D48=Worksheet!$A$52,Worksheet!J$52,IF(Request!$D48=Worksheet!$A$53,Worksheet!J$53,IF(Request!$D48=Worksheet!$A$54,Worksheet!J$54,IF(Request!$D48=Worksheet!$A$55,Worksheet!J$55))))))))))),0)+ROUND(R21/Worksheet!$G$5*Worksheet!$G$10*(IF(Request!$D48=Worksheet!$A$47,Worksheet!K$47,IF(Request!$D48=Worksheet!$A$48,Worksheet!K$48,IF(Request!$D48=Worksheet!$A$49,Worksheet!K$49,IF(Request!$D48=Worksheet!$A$50,Worksheet!K$50,IF(Request!$D48=Worksheet!$A$51,Worksheet!K$51,IF(Request!$D48=Worksheet!$A$52,Worksheet!K$52,IF(Request!$D48=Worksheet!$A$53,Worksheet!K$53,IF(Request!$D48=Worksheet!$A$54,Worksheet!K$54,IF(Request!$D48=Worksheet!$A$55,Worksheet!K$55)))))))))),0))))))))</f>
        <v>0</v>
      </c>
      <c r="S48" s="144">
        <f t="shared" si="7"/>
        <v>0</v>
      </c>
      <c r="T48" s="192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</row>
    <row r="49" spans="1:41" ht="11.45" hidden="1" x14ac:dyDescent="0.2">
      <c r="A49" s="91">
        <v>15</v>
      </c>
      <c r="B49" s="247">
        <f t="shared" si="8"/>
        <v>0</v>
      </c>
      <c r="C49" s="248"/>
      <c r="D49" s="156" t="s">
        <v>51</v>
      </c>
      <c r="E49" s="174" t="str">
        <f>IF($D49=Worksheet!$A$59,Worksheet!B$59,IF($D49=Worksheet!$A$60,Worksheet!B$60,IF($D49=Worksheet!$A$61,Worksheet!B$61,IF($D49=Worksheet!$A$62,Worksheet!B$62,IF($D49=Worksheet!$A$63,Worksheet!B$63,IF($D49=Worksheet!$A$64,Worksheet!B$64,IF($D49=Worksheet!$A$65,Worksheet!B$65,IF($D49=Worksheet!$A$66,Worksheet!B$66,IF($D49=Worksheet!$A$67,Worksheet!B$67,IF($D49=Worksheet!$A$68,Worksheet!B289,IF($D49=Worksheet!$A$69,Worksheet!B289,IF($D49=Worksheet!$A$70,Worksheet!B289,IF($D49=Worksheet!$A$71,"")))))))))))))</f>
        <v/>
      </c>
      <c r="F49" s="243" t="str">
        <f>IF($D49=Worksheet!$A$59,Worksheet!C$59,IF($D49=Worksheet!$A$60,Worksheet!C$60,IF($D49=Worksheet!$A$61,Worksheet!C$61,IF($D49=Worksheet!$A$62,Worksheet!C$62,IF($D49=Worksheet!$A$63,Worksheet!C$63,IF($D49=Worksheet!$A$64,Worksheet!C$64,IF($D49=Worksheet!$A$65,Worksheet!C$65,IF($D49=Worksheet!$A$66,Worksheet!C$66,IF($D49=Worksheet!$A$67,Worksheet!C$67,IF($D49=Worksheet!$A$68,Worksheet!D289,IF($D49=Worksheet!$A$69,Worksheet!D289,IF($D49=Worksheet!$A$70,Worksheet!D289,IF($D49=Worksheet!$A$71,"")))))))))))))</f>
        <v/>
      </c>
      <c r="G49" s="244"/>
      <c r="H49" s="274" t="str">
        <f>IF($D49=Worksheet!$A$59,Worksheet!D$59,IF($D49=Worksheet!$A$60,Worksheet!D$60,IF($D49=Worksheet!$A$61,Worksheet!D$61,IF($D49=Worksheet!$A$62,Worksheet!D$62,IF($D49=Worksheet!$A$63,Worksheet!D$63,IF($D49=Worksheet!$A$64,Worksheet!D$64,IF($D49=Worksheet!$A$65,Worksheet!D$65,IF($D49=Worksheet!$A$66,Worksheet!D$66,IF($D49=Worksheet!$A$67,Worksheet!D$67,IF($D49=Worksheet!$A$68,Worksheet!F289,IF($D49=Worksheet!$A$69,Worksheet!F289,IF($D49=Worksheet!$A$70,Worksheet!F289,IF($D49=Worksheet!$A$71,"")))))))))))))</f>
        <v/>
      </c>
      <c r="I49" s="275"/>
      <c r="J49" s="274" t="str">
        <f>IF($D49=Worksheet!$A$59,Worksheet!E$59,IF($D49=Worksheet!$A$60,Worksheet!E$60,IF($D49=Worksheet!$A$61,Worksheet!E$61,IF($D49=Worksheet!$A$62,Worksheet!E$62,IF($D49=Worksheet!$A$63,Worksheet!E$63,IF($D49=Worksheet!$A$64,Worksheet!E$64,IF($D49=Worksheet!$A$65,Worksheet!E$65,IF($D49=Worksheet!$A$66,Worksheet!E$66,IF($D49=Worksheet!$A$67,Worksheet!E$67,IF($D49=Worksheet!$A$68,Worksheet!H289,IF($D49=Worksheet!$A$69,Worksheet!H289,IF($D49=Worksheet!$A$70,Worksheet!H289,IF($D49=Worksheet!$A$71,"")))))))))))))</f>
        <v/>
      </c>
      <c r="K49" s="275"/>
      <c r="L49" s="274" t="str">
        <f>IF($D49=Worksheet!$A$59,Worksheet!F$59,IF($D49=Worksheet!$A$60,Worksheet!F$60,IF($D49=Worksheet!$A$61,Worksheet!F$61,IF($D49=Worksheet!$A$62,Worksheet!F$62,IF($D49=Worksheet!$A$63,Worksheet!F$63,IF($D49=Worksheet!$A$64,Worksheet!F$64,IF($D49=Worksheet!$A$65,Worksheet!F$65,IF($D49=Worksheet!$A$66,Worksheet!F$66,IF($D49=Worksheet!$A$67,Worksheet!F$67,IF($D49=Worksheet!$A$68,Worksheet!J289,IF($D49=Worksheet!$A$69,Worksheet!J289,IF($D49=Worksheet!$A$70,Worksheet!J289,IF($D49=Worksheet!$A$71,"")))))))))))))</f>
        <v/>
      </c>
      <c r="M49" s="275"/>
      <c r="N49" s="182">
        <f>IF(N22=0,0,IF(AND($D49="F-SMRA",N22=0),0,IF(AND($D49="F-SMRB",N22=0),0,IF(AND($D49="F-SMRC",N22=0),0,IF($D49=Worksheet!$A$68,Worksheet!B315,IF($D49=Worksheet!$A$69,Worksheet!B315,IF($D49=Worksheet!$A$70,Worksheet!B315,ROUND((Request!N22/Worksheet!$C$5*Worksheet!$C$9*(IF(Request!$D49=Worksheet!$A$47,Worksheet!B$47,IF(Request!$D49=Worksheet!$A$48,Worksheet!B$48,IF(Request!$D49=Worksheet!$A$49,Worksheet!B$49,IF(Request!$D49=Worksheet!$A$50,Worksheet!B$50,IF(Request!$D49=Worksheet!$A$51,Worksheet!B$51,IF(Request!$D49=Worksheet!$A$52,Worksheet!B$52,IF(Request!$D49=Worksheet!$A$53,Worksheet!B$53,IF(Request!$D49=Worksheet!$A$54,Worksheet!B$54,IF(Request!$D49=Worksheet!$A$55,Worksheet!B$55))))))))))),0)+ROUND(N22/Worksheet!$C$5*Worksheet!$C$10*(IF(Request!$D49=Worksheet!$A$47,Worksheet!C$47,IF(Request!$D49=Worksheet!$A$48,Worksheet!C$48,IF(Request!$D49=Worksheet!$A$49,Worksheet!C$49,IF(Request!$D49=Worksheet!$A$50,Worksheet!C$50,IF(Request!$D49=Worksheet!$A$51,Worksheet!C$51,IF(Request!$D49=Worksheet!$A$52,Worksheet!C$52,IF(Request!$D49=Worksheet!$A$53,Worksheet!C$53,IF(Request!$D49=Worksheet!$A$54,Worksheet!C$54,IF(Request!$D49=Worksheet!$A$55,Worksheet!C$55)))))))))),0))))))))</f>
        <v>0</v>
      </c>
      <c r="O49" s="182">
        <f>IF(O22=0,0,IF(AND($D49="F-SMRA",O22=0),0,IF(AND($D49="F-SMRB",O22=0),0,IF(AND($D49="F-SMRC",O22=0),0,IF($D49=Worksheet!$A$68,Worksheet!D315,IF($D49=Worksheet!$A$69,Worksheet!D315,IF($D49=Worksheet!$A$70,Worksheet!D315,ROUND((Request!O22/Worksheet!$D$5*Worksheet!$D$9*(IF(Request!$D49=Worksheet!$A$47,Worksheet!D$47,IF(Request!$D49=Worksheet!$A$48,Worksheet!D$48,IF(Request!$D49=Worksheet!$A$49,Worksheet!D$49,IF(Request!$D49=Worksheet!$A$50,Worksheet!D$50,IF(Request!$D49=Worksheet!$A$51,Worksheet!D$51,IF(Request!$D49=Worksheet!$A$52,Worksheet!D$52,IF(Request!$D49=Worksheet!$A$53,Worksheet!D$53,IF(Request!$D49=Worksheet!$A$54,Worksheet!D$54,IF(Request!$D49=Worksheet!$A$55,Worksheet!D$55))))))))))),0)+ROUND(O22/Worksheet!$D$5*Worksheet!$D$10*(IF(Request!$D49=Worksheet!$A$47,Worksheet!E$47,IF(Request!$D49=Worksheet!$A$48,Worksheet!E$48,IF(Request!$D49=Worksheet!$A$49,Worksheet!E$49,IF(Request!$D49=Worksheet!$A$50,Worksheet!E$50,IF(Request!$D49=Worksheet!$A$51,Worksheet!E$51,IF(Request!$D49=Worksheet!$A$52,Worksheet!E$52,IF(Request!$D49=Worksheet!$A$53,Worksheet!E$53,IF(Request!$D49=Worksheet!$A$54,Worksheet!E$54,IF(Request!$D49=Worksheet!$A$55,Worksheet!E$55)))))))))),0))))))))</f>
        <v>0</v>
      </c>
      <c r="P49" s="182">
        <f>IF(P22=0,0,IF(AND($D49="F-SMRA",P22=0),0,IF(AND($D49="F-SMRB",P22=0),0,IF(AND($D49="F-SMRC",P22=0),0,IF($D49=Worksheet!$A$68,Worksheet!F315,IF($D49=Worksheet!$A$69,Worksheet!F315,IF($D49=Worksheet!$A$70,Worksheet!F315,ROUND((Request!P22/Worksheet!$E$5*Worksheet!$E$9*(IF(Request!$D49=Worksheet!$A$47,Worksheet!F$47,IF(Request!$D49=Worksheet!$A$48,Worksheet!F$48,IF(Request!$D49=Worksheet!$A$49,Worksheet!F$49,IF(Request!$D49=Worksheet!$A$50,Worksheet!F$50,IF(Request!$D49=Worksheet!$A$51,Worksheet!F$51,IF(Request!$D49=Worksheet!$A$52,Worksheet!F$52,IF(Request!$D49=Worksheet!$A$53,Worksheet!F$53,IF(Request!$D49=Worksheet!$A$54,Worksheet!F$54,IF(Request!$D49=Worksheet!$A$55,Worksheet!F$55))))))))))),0)+ROUND(P22/Worksheet!$E$5*Worksheet!$E$10*(IF(Request!$D49=Worksheet!$A$47,Worksheet!G$47,IF(Request!$D49=Worksheet!$A$48,Worksheet!G$48,IF(Request!$D49=Worksheet!$A$49,Worksheet!G$49,IF(Request!$D49=Worksheet!$A$50,Worksheet!G$50,IF(Request!$D49=Worksheet!$A$51,Worksheet!G$51,IF(Request!$D49=Worksheet!$A$52,Worksheet!G$52,IF(Request!$D49=Worksheet!$A$53,Worksheet!G$53,IF(Request!$D49=Worksheet!$A$54,Worksheet!G$54,IF(Request!$D49=Worksheet!$A$55,Worksheet!G$55)))))))))),0))))))))</f>
        <v>0</v>
      </c>
      <c r="Q49" s="182">
        <f>IF(Q22=0,0,IF(AND($D49="F-SMRA",Q22=0),0,IF(AND($D49="F-SMRB",Q22=0),0,IF(AND($D49="F-SMRC",Q22=0),0,IF($D49=Worksheet!$A$68,Worksheet!H315,IF($D49=Worksheet!$A$69,Worksheet!H315,IF($D49=Worksheet!$A$70,Worksheet!H315,ROUND((Request!Q22/Worksheet!$F$5*Worksheet!$F$9*(IF(Request!$D49=Worksheet!$A$47,Worksheet!H$47,IF(Request!$D49=Worksheet!$A$48,Worksheet!H$48,IF(Request!$D49=Worksheet!$A$49,Worksheet!H$49,IF(Request!$D49=Worksheet!$A$50,Worksheet!H$50,IF(Request!$D49=Worksheet!$A$51,Worksheet!H$51,IF(Request!$D49=Worksheet!$A$52,Worksheet!H$52,IF(Request!$D49=Worksheet!$A$53,Worksheet!H$53,IF(Request!$D49=Worksheet!$A$54,Worksheet!H$54,IF(Request!$D49=Worksheet!$A$55,Worksheet!H$55))))))))))),0)+ROUND(Q22/Worksheet!$F$5*Worksheet!$F$10*(IF(Request!$D49=Worksheet!$A$47,Worksheet!I$47,IF(Request!$D49=Worksheet!$A$48,Worksheet!I$48,IF(Request!$D49=Worksheet!$A$49,Worksheet!I$49,IF(Request!$D49=Worksheet!$A$50,Worksheet!I$50,IF(Request!$D49=Worksheet!$A$51,Worksheet!I$51,IF(Request!$D49=Worksheet!$A$52,Worksheet!I$52,IF(Request!$D49=Worksheet!$A$53,Worksheet!I$53,IF(Request!$D49=Worksheet!$A$54,Worksheet!I$54,IF(Request!$D49=Worksheet!$A$55,Worksheet!I$55)))))))))),0))))))))</f>
        <v>0</v>
      </c>
      <c r="R49" s="182">
        <f>IF(R22=0,0,IF(AND($D49="F-SMRA",R22=0),0,IF(AND($D49="F-SMRB",R22=0),0,IF(AND($D49="F-SMRC",R22=0),0,IF($D49=Worksheet!$A$68,Worksheet!J315,IF($D49=Worksheet!$A$69,Worksheet!J315,IF($D49=Worksheet!$A$70,Worksheet!J315,ROUND((Request!R22/Worksheet!$G$5*Worksheet!$G$9*(IF(Request!$D49=Worksheet!$A$47,Worksheet!J$47,IF(Request!$D49=Worksheet!$A$48,Worksheet!J$48,IF(Request!$D49=Worksheet!$A$49,Worksheet!J$49,IF(Request!$D49=Worksheet!$A$50,Worksheet!J$50,IF(Request!$D49=Worksheet!$A$51,Worksheet!J$51,IF(Request!$D49=Worksheet!$A$52,Worksheet!J$52,IF(Request!$D49=Worksheet!$A$53,Worksheet!J$53,IF(Request!$D49=Worksheet!$A$54,Worksheet!J$54,IF(Request!$D49=Worksheet!$A$55,Worksheet!J$55))))))))))),0)+ROUND(R22/Worksheet!$G$5*Worksheet!$G$10*(IF(Request!$D49=Worksheet!$A$47,Worksheet!K$47,IF(Request!$D49=Worksheet!$A$48,Worksheet!K$48,IF(Request!$D49=Worksheet!$A$49,Worksheet!K$49,IF(Request!$D49=Worksheet!$A$50,Worksheet!K$50,IF(Request!$D49=Worksheet!$A$51,Worksheet!K$51,IF(Request!$D49=Worksheet!$A$52,Worksheet!K$52,IF(Request!$D49=Worksheet!$A$53,Worksheet!K$53,IF(Request!$D49=Worksheet!$A$54,Worksheet!K$54,IF(Request!$D49=Worksheet!$A$55,Worksheet!K$55)))))))))),0))))))))</f>
        <v>0</v>
      </c>
      <c r="S49" s="144">
        <f t="shared" si="7"/>
        <v>0</v>
      </c>
      <c r="T49" s="192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</row>
    <row r="50" spans="1:41" ht="11.45" hidden="1" x14ac:dyDescent="0.2">
      <c r="A50" s="91">
        <v>16</v>
      </c>
      <c r="B50" s="247">
        <f t="shared" si="8"/>
        <v>0</v>
      </c>
      <c r="C50" s="248"/>
      <c r="D50" s="156" t="s">
        <v>51</v>
      </c>
      <c r="E50" s="174" t="str">
        <f>IF($D50=Worksheet!$A$59,Worksheet!B$59,IF($D50=Worksheet!$A$60,Worksheet!B$60,IF($D50=Worksheet!$A$61,Worksheet!B$61,IF($D50=Worksheet!$A$62,Worksheet!B$62,IF($D50=Worksheet!$A$63,Worksheet!B$63,IF($D50=Worksheet!$A$64,Worksheet!B$64,IF($D50=Worksheet!$A$65,Worksheet!B$65,IF($D50=Worksheet!$A$66,Worksheet!B$66,IF($D50=Worksheet!$A$67,Worksheet!B$67,IF($D50=Worksheet!$A$68,Worksheet!B290,IF($D50=Worksheet!$A$69,Worksheet!B290,IF($D50=Worksheet!$A$70,Worksheet!B290,IF($D50=Worksheet!$A$71,"")))))))))))))</f>
        <v/>
      </c>
      <c r="F50" s="243" t="str">
        <f>IF($D50=Worksheet!$A$59,Worksheet!C$59,IF($D50=Worksheet!$A$60,Worksheet!C$60,IF($D50=Worksheet!$A$61,Worksheet!C$61,IF($D50=Worksheet!$A$62,Worksheet!C$62,IF($D50=Worksheet!$A$63,Worksheet!C$63,IF($D50=Worksheet!$A$64,Worksheet!C$64,IF($D50=Worksheet!$A$65,Worksheet!C$65,IF($D50=Worksheet!$A$66,Worksheet!C$66,IF($D50=Worksheet!$A$67,Worksheet!C$67,IF($D50=Worksheet!$A$68,Worksheet!D290,IF($D50=Worksheet!$A$69,Worksheet!D290,IF($D50=Worksheet!$A$70,Worksheet!D290,IF($D50=Worksheet!$A$71,"")))))))))))))</f>
        <v/>
      </c>
      <c r="G50" s="244"/>
      <c r="H50" s="274" t="str">
        <f>IF($D50=Worksheet!$A$59,Worksheet!D$59,IF($D50=Worksheet!$A$60,Worksheet!D$60,IF($D50=Worksheet!$A$61,Worksheet!D$61,IF($D50=Worksheet!$A$62,Worksheet!D$62,IF($D50=Worksheet!$A$63,Worksheet!D$63,IF($D50=Worksheet!$A$64,Worksheet!D$64,IF($D50=Worksheet!$A$65,Worksheet!D$65,IF($D50=Worksheet!$A$66,Worksheet!D$66,IF($D50=Worksheet!$A$67,Worksheet!D$67,IF($D50=Worksheet!$A$68,Worksheet!F290,IF($D50=Worksheet!$A$69,Worksheet!F290,IF($D50=Worksheet!$A$70,Worksheet!F290,IF($D50=Worksheet!$A$71,"")))))))))))))</f>
        <v/>
      </c>
      <c r="I50" s="275"/>
      <c r="J50" s="274" t="str">
        <f>IF($D50=Worksheet!$A$59,Worksheet!E$59,IF($D50=Worksheet!$A$60,Worksheet!E$60,IF($D50=Worksheet!$A$61,Worksheet!E$61,IF($D50=Worksheet!$A$62,Worksheet!E$62,IF($D50=Worksheet!$A$63,Worksheet!E$63,IF($D50=Worksheet!$A$64,Worksheet!E$64,IF($D50=Worksheet!$A$65,Worksheet!E$65,IF($D50=Worksheet!$A$66,Worksheet!E$66,IF($D50=Worksheet!$A$67,Worksheet!E$67,IF($D50=Worksheet!$A$68,Worksheet!H290,IF($D50=Worksheet!$A$69,Worksheet!H290,IF($D50=Worksheet!$A$70,Worksheet!H290,IF($D50=Worksheet!$A$71,"")))))))))))))</f>
        <v/>
      </c>
      <c r="K50" s="275"/>
      <c r="L50" s="274" t="str">
        <f>IF($D50=Worksheet!$A$59,Worksheet!F$59,IF($D50=Worksheet!$A$60,Worksheet!F$60,IF($D50=Worksheet!$A$61,Worksheet!F$61,IF($D50=Worksheet!$A$62,Worksheet!F$62,IF($D50=Worksheet!$A$63,Worksheet!F$63,IF($D50=Worksheet!$A$64,Worksheet!F$64,IF($D50=Worksheet!$A$65,Worksheet!F$65,IF($D50=Worksheet!$A$66,Worksheet!F$66,IF($D50=Worksheet!$A$67,Worksheet!F$67,IF($D50=Worksheet!$A$68,Worksheet!J290,IF($D50=Worksheet!$A$69,Worksheet!J290,IF($D50=Worksheet!$A$70,Worksheet!J290,IF($D50=Worksheet!$A$71,"")))))))))))))</f>
        <v/>
      </c>
      <c r="M50" s="275"/>
      <c r="N50" s="182">
        <f>IF(N23=0,0,IF(AND($D50="F-SMRA",N23=0),0,IF(AND($D50="F-SMRB",N23=0),0,IF(AND($D50="F-SMRC",N23=0),0,IF($D50=Worksheet!$A$68,Worksheet!B316,IF($D50=Worksheet!$A$69,Worksheet!B316,IF($D50=Worksheet!$A$70,Worksheet!B316,ROUND((Request!N23/Worksheet!$C$5*Worksheet!$C$9*(IF(Request!$D50=Worksheet!$A$47,Worksheet!B$47,IF(Request!$D50=Worksheet!$A$48,Worksheet!B$48,IF(Request!$D50=Worksheet!$A$49,Worksheet!B$49,IF(Request!$D50=Worksheet!$A$50,Worksheet!B$50,IF(Request!$D50=Worksheet!$A$51,Worksheet!B$51,IF(Request!$D50=Worksheet!$A$52,Worksheet!B$52,IF(Request!$D50=Worksheet!$A$53,Worksheet!B$53,IF(Request!$D50=Worksheet!$A$54,Worksheet!B$54,IF(Request!$D50=Worksheet!$A$55,Worksheet!B$55))))))))))),0)+ROUND(N23/Worksheet!$C$5*Worksheet!$C$10*(IF(Request!$D50=Worksheet!$A$47,Worksheet!C$47,IF(Request!$D50=Worksheet!$A$48,Worksheet!C$48,IF(Request!$D50=Worksheet!$A$49,Worksheet!C$49,IF(Request!$D50=Worksheet!$A$50,Worksheet!C$50,IF(Request!$D50=Worksheet!$A$51,Worksheet!C$51,IF(Request!$D50=Worksheet!$A$52,Worksheet!C$52,IF(Request!$D50=Worksheet!$A$53,Worksheet!C$53,IF(Request!$D50=Worksheet!$A$54,Worksheet!C$54,IF(Request!$D50=Worksheet!$A$55,Worksheet!C$55)))))))))),0))))))))</f>
        <v>0</v>
      </c>
      <c r="O50" s="182">
        <f>IF(O23=0,0,IF(AND($D50="F-SMRA",O23=0),0,IF(AND($D50="F-SMRB",O23=0),0,IF(AND($D50="F-SMRC",O23=0),0,IF($D50=Worksheet!$A$68,Worksheet!D316,IF($D50=Worksheet!$A$69,Worksheet!D316,IF($D50=Worksheet!$A$70,Worksheet!D316,ROUND((Request!O23/Worksheet!$D$5*Worksheet!$D$9*(IF(Request!$D50=Worksheet!$A$47,Worksheet!D$47,IF(Request!$D50=Worksheet!$A$48,Worksheet!D$48,IF(Request!$D50=Worksheet!$A$49,Worksheet!D$49,IF(Request!$D50=Worksheet!$A$50,Worksheet!D$50,IF(Request!$D50=Worksheet!$A$51,Worksheet!D$51,IF(Request!$D50=Worksheet!$A$52,Worksheet!D$52,IF(Request!$D50=Worksheet!$A$53,Worksheet!D$53,IF(Request!$D50=Worksheet!$A$54,Worksheet!D$54,IF(Request!$D50=Worksheet!$A$55,Worksheet!D$55))))))))))),0)+ROUND(O23/Worksheet!$D$5*Worksheet!$D$10*(IF(Request!$D50=Worksheet!$A$47,Worksheet!E$47,IF(Request!$D50=Worksheet!$A$48,Worksheet!E$48,IF(Request!$D50=Worksheet!$A$49,Worksheet!E$49,IF(Request!$D50=Worksheet!$A$50,Worksheet!E$50,IF(Request!$D50=Worksheet!$A$51,Worksheet!E$51,IF(Request!$D50=Worksheet!$A$52,Worksheet!E$52,IF(Request!$D50=Worksheet!$A$53,Worksheet!E$53,IF(Request!$D50=Worksheet!$A$54,Worksheet!E$54,IF(Request!$D50=Worksheet!$A$55,Worksheet!E$55)))))))))),0))))))))</f>
        <v>0</v>
      </c>
      <c r="P50" s="182">
        <f>IF(P23=0,0,IF(AND($D50="F-SMRA",P23=0),0,IF(AND($D50="F-SMRB",P23=0),0,IF(AND($D50="F-SMRC",P23=0),0,IF($D50=Worksheet!$A$68,Worksheet!F316,IF($D50=Worksheet!$A$69,Worksheet!F316,IF($D50=Worksheet!$A$70,Worksheet!F316,ROUND((Request!P23/Worksheet!$E$5*Worksheet!$E$9*(IF(Request!$D50=Worksheet!$A$47,Worksheet!F$47,IF(Request!$D50=Worksheet!$A$48,Worksheet!F$48,IF(Request!$D50=Worksheet!$A$49,Worksheet!F$49,IF(Request!$D50=Worksheet!$A$50,Worksheet!F$50,IF(Request!$D50=Worksheet!$A$51,Worksheet!F$51,IF(Request!$D50=Worksheet!$A$52,Worksheet!F$52,IF(Request!$D50=Worksheet!$A$53,Worksheet!F$53,IF(Request!$D50=Worksheet!$A$54,Worksheet!F$54,IF(Request!$D50=Worksheet!$A$55,Worksheet!F$55))))))))))),0)+ROUND(P23/Worksheet!$E$5*Worksheet!$E$10*(IF(Request!$D50=Worksheet!$A$47,Worksheet!G$47,IF(Request!$D50=Worksheet!$A$48,Worksheet!G$48,IF(Request!$D50=Worksheet!$A$49,Worksheet!G$49,IF(Request!$D50=Worksheet!$A$50,Worksheet!G$50,IF(Request!$D50=Worksheet!$A$51,Worksheet!G$51,IF(Request!$D50=Worksheet!$A$52,Worksheet!G$52,IF(Request!$D50=Worksheet!$A$53,Worksheet!G$53,IF(Request!$D50=Worksheet!$A$54,Worksheet!G$54,IF(Request!$D50=Worksheet!$A$55,Worksheet!G$55)))))))))),0))))))))</f>
        <v>0</v>
      </c>
      <c r="Q50" s="182">
        <f>IF(Q23=0,0,IF(AND($D50="F-SMRA",Q23=0),0,IF(AND($D50="F-SMRB",Q23=0),0,IF(AND($D50="F-SMRC",Q23=0),0,IF($D50=Worksheet!$A$68,Worksheet!H316,IF($D50=Worksheet!$A$69,Worksheet!H316,IF($D50=Worksheet!$A$70,Worksheet!H316,ROUND((Request!Q23/Worksheet!$F$5*Worksheet!$F$9*(IF(Request!$D50=Worksheet!$A$47,Worksheet!H$47,IF(Request!$D50=Worksheet!$A$48,Worksheet!H$48,IF(Request!$D50=Worksheet!$A$49,Worksheet!H$49,IF(Request!$D50=Worksheet!$A$50,Worksheet!H$50,IF(Request!$D50=Worksheet!$A$51,Worksheet!H$51,IF(Request!$D50=Worksheet!$A$52,Worksheet!H$52,IF(Request!$D50=Worksheet!$A$53,Worksheet!H$53,IF(Request!$D50=Worksheet!$A$54,Worksheet!H$54,IF(Request!$D50=Worksheet!$A$55,Worksheet!H$55))))))))))),0)+ROUND(Q23/Worksheet!$F$5*Worksheet!$F$10*(IF(Request!$D50=Worksheet!$A$47,Worksheet!I$47,IF(Request!$D50=Worksheet!$A$48,Worksheet!I$48,IF(Request!$D50=Worksheet!$A$49,Worksheet!I$49,IF(Request!$D50=Worksheet!$A$50,Worksheet!I$50,IF(Request!$D50=Worksheet!$A$51,Worksheet!I$51,IF(Request!$D50=Worksheet!$A$52,Worksheet!I$52,IF(Request!$D50=Worksheet!$A$53,Worksheet!I$53,IF(Request!$D50=Worksheet!$A$54,Worksheet!I$54,IF(Request!$D50=Worksheet!$A$55,Worksheet!I$55)))))))))),0))))))))</f>
        <v>0</v>
      </c>
      <c r="R50" s="182">
        <f>IF(R23=0,0,IF(AND($D50="F-SMRA",R23=0),0,IF(AND($D50="F-SMRB",R23=0),0,IF(AND($D50="F-SMRC",R23=0),0,IF($D50=Worksheet!$A$68,Worksheet!J316,IF($D50=Worksheet!$A$69,Worksheet!J316,IF($D50=Worksheet!$A$70,Worksheet!J316,ROUND((Request!R23/Worksheet!$G$5*Worksheet!$G$9*(IF(Request!$D50=Worksheet!$A$47,Worksheet!J$47,IF(Request!$D50=Worksheet!$A$48,Worksheet!J$48,IF(Request!$D50=Worksheet!$A$49,Worksheet!J$49,IF(Request!$D50=Worksheet!$A$50,Worksheet!J$50,IF(Request!$D50=Worksheet!$A$51,Worksheet!J$51,IF(Request!$D50=Worksheet!$A$52,Worksheet!J$52,IF(Request!$D50=Worksheet!$A$53,Worksheet!J$53,IF(Request!$D50=Worksheet!$A$54,Worksheet!J$54,IF(Request!$D50=Worksheet!$A$55,Worksheet!J$55))))))))))),0)+ROUND(R23/Worksheet!$G$5*Worksheet!$G$10*(IF(Request!$D50=Worksheet!$A$47,Worksheet!K$47,IF(Request!$D50=Worksheet!$A$48,Worksheet!K$48,IF(Request!$D50=Worksheet!$A$49,Worksheet!K$49,IF(Request!$D50=Worksheet!$A$50,Worksheet!K$50,IF(Request!$D50=Worksheet!$A$51,Worksheet!K$51,IF(Request!$D50=Worksheet!$A$52,Worksheet!K$52,IF(Request!$D50=Worksheet!$A$53,Worksheet!K$53,IF(Request!$D50=Worksheet!$A$54,Worksheet!K$54,IF(Request!$D50=Worksheet!$A$55,Worksheet!K$55)))))))))),0))))))))</f>
        <v>0</v>
      </c>
      <c r="S50" s="144">
        <f t="shared" si="7"/>
        <v>0</v>
      </c>
      <c r="T50" s="192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</row>
    <row r="51" spans="1:41" ht="11.45" hidden="1" x14ac:dyDescent="0.2">
      <c r="A51" s="91">
        <v>17</v>
      </c>
      <c r="B51" s="247">
        <f t="shared" si="8"/>
        <v>0</v>
      </c>
      <c r="C51" s="248"/>
      <c r="D51" s="156" t="s">
        <v>51</v>
      </c>
      <c r="E51" s="174" t="str">
        <f>IF($D51=Worksheet!$A$59,Worksheet!B$59,IF($D51=Worksheet!$A$60,Worksheet!B$60,IF($D51=Worksheet!$A$61,Worksheet!B$61,IF($D51=Worksheet!$A$62,Worksheet!B$62,IF($D51=Worksheet!$A$63,Worksheet!B$63,IF($D51=Worksheet!$A$64,Worksheet!B$64,IF($D51=Worksheet!$A$65,Worksheet!B$65,IF($D51=Worksheet!$A$66,Worksheet!B$66,IF($D51=Worksheet!$A$67,Worksheet!B$67,IF($D51=Worksheet!$A$68,Worksheet!B291,IF($D51=Worksheet!$A$69,Worksheet!B291,IF($D51=Worksheet!$A$70,Worksheet!B291,IF($D51=Worksheet!$A$71,"")))))))))))))</f>
        <v/>
      </c>
      <c r="F51" s="243" t="str">
        <f>IF($D51=Worksheet!$A$59,Worksheet!C$59,IF($D51=Worksheet!$A$60,Worksheet!C$60,IF($D51=Worksheet!$A$61,Worksheet!C$61,IF($D51=Worksheet!$A$62,Worksheet!C$62,IF($D51=Worksheet!$A$63,Worksheet!C$63,IF($D51=Worksheet!$A$64,Worksheet!C$64,IF($D51=Worksheet!$A$65,Worksheet!C$65,IF($D51=Worksheet!$A$66,Worksheet!C$66,IF($D51=Worksheet!$A$67,Worksheet!C$67,IF($D51=Worksheet!$A$68,Worksheet!D291,IF($D51=Worksheet!$A$69,Worksheet!D291,IF($D51=Worksheet!$A$70,Worksheet!D291,IF($D51=Worksheet!$A$71,"")))))))))))))</f>
        <v/>
      </c>
      <c r="G51" s="244"/>
      <c r="H51" s="274" t="str">
        <f>IF($D51=Worksheet!$A$59,Worksheet!D$59,IF($D51=Worksheet!$A$60,Worksheet!D$60,IF($D51=Worksheet!$A$61,Worksheet!D$61,IF($D51=Worksheet!$A$62,Worksheet!D$62,IF($D51=Worksheet!$A$63,Worksheet!D$63,IF($D51=Worksheet!$A$64,Worksheet!D$64,IF($D51=Worksheet!$A$65,Worksheet!D$65,IF($D51=Worksheet!$A$66,Worksheet!D$66,IF($D51=Worksheet!$A$67,Worksheet!D$67,IF($D51=Worksheet!$A$68,Worksheet!F291,IF($D51=Worksheet!$A$69,Worksheet!F291,IF($D51=Worksheet!$A$70,Worksheet!F291,IF($D51=Worksheet!$A$71,"")))))))))))))</f>
        <v/>
      </c>
      <c r="I51" s="275"/>
      <c r="J51" s="274" t="str">
        <f>IF($D51=Worksheet!$A$59,Worksheet!E$59,IF($D51=Worksheet!$A$60,Worksheet!E$60,IF($D51=Worksheet!$A$61,Worksheet!E$61,IF($D51=Worksheet!$A$62,Worksheet!E$62,IF($D51=Worksheet!$A$63,Worksheet!E$63,IF($D51=Worksheet!$A$64,Worksheet!E$64,IF($D51=Worksheet!$A$65,Worksheet!E$65,IF($D51=Worksheet!$A$66,Worksheet!E$66,IF($D51=Worksheet!$A$67,Worksheet!E$67,IF($D51=Worksheet!$A$68,Worksheet!H291,IF($D51=Worksheet!$A$69,Worksheet!H291,IF($D51=Worksheet!$A$70,Worksheet!H291,IF($D51=Worksheet!$A$71,"")))))))))))))</f>
        <v/>
      </c>
      <c r="K51" s="275"/>
      <c r="L51" s="274" t="str">
        <f>IF($D51=Worksheet!$A$59,Worksheet!F$59,IF($D51=Worksheet!$A$60,Worksheet!F$60,IF($D51=Worksheet!$A$61,Worksheet!F$61,IF($D51=Worksheet!$A$62,Worksheet!F$62,IF($D51=Worksheet!$A$63,Worksheet!F$63,IF($D51=Worksheet!$A$64,Worksheet!F$64,IF($D51=Worksheet!$A$65,Worksheet!F$65,IF($D51=Worksheet!$A$66,Worksheet!F$66,IF($D51=Worksheet!$A$67,Worksheet!F$67,IF($D51=Worksheet!$A$68,Worksheet!J291,IF($D51=Worksheet!$A$69,Worksheet!J291,IF($D51=Worksheet!$A$70,Worksheet!J291,IF($D51=Worksheet!$A$71,"")))))))))))))</f>
        <v/>
      </c>
      <c r="M51" s="275"/>
      <c r="N51" s="182">
        <f>IF(N24=0,0,IF(AND($D51="F-SMRA",N24=0),0,IF(AND($D51="F-SMRB",N24=0),0,IF(AND($D51="F-SMRC",N24=0),0,IF($D51=Worksheet!$A$68,Worksheet!B317,IF($D51=Worksheet!$A$69,Worksheet!B317,IF($D51=Worksheet!$A$70,Worksheet!B317,ROUND((Request!N24/Worksheet!$C$5*Worksheet!$C$9*(IF(Request!$D51=Worksheet!$A$47,Worksheet!B$47,IF(Request!$D51=Worksheet!$A$48,Worksheet!B$48,IF(Request!$D51=Worksheet!$A$49,Worksheet!B$49,IF(Request!$D51=Worksheet!$A$50,Worksheet!B$50,IF(Request!$D51=Worksheet!$A$51,Worksheet!B$51,IF(Request!$D51=Worksheet!$A$52,Worksheet!B$52,IF(Request!$D51=Worksheet!$A$53,Worksheet!B$53,IF(Request!$D51=Worksheet!$A$54,Worksheet!B$54,IF(Request!$D51=Worksheet!$A$55,Worksheet!B$55))))))))))),0)+ROUND(N24/Worksheet!$C$5*Worksheet!$C$10*(IF(Request!$D51=Worksheet!$A$47,Worksheet!C$47,IF(Request!$D51=Worksheet!$A$48,Worksheet!C$48,IF(Request!$D51=Worksheet!$A$49,Worksheet!C$49,IF(Request!$D51=Worksheet!$A$50,Worksheet!C$50,IF(Request!$D51=Worksheet!$A$51,Worksheet!C$51,IF(Request!$D51=Worksheet!$A$52,Worksheet!C$52,IF(Request!$D51=Worksheet!$A$53,Worksheet!C$53,IF(Request!$D51=Worksheet!$A$54,Worksheet!C$54,IF(Request!$D51=Worksheet!$A$55,Worksheet!C$55)))))))))),0))))))))</f>
        <v>0</v>
      </c>
      <c r="O51" s="182">
        <f>IF(O24=0,0,IF(AND($D51="F-SMRA",O24=0),0,IF(AND($D51="F-SMRB",O24=0),0,IF(AND($D51="F-SMRC",O24=0),0,IF($D51=Worksheet!$A$68,Worksheet!D317,IF($D51=Worksheet!$A$69,Worksheet!D317,IF($D51=Worksheet!$A$70,Worksheet!D317,ROUND((Request!O24/Worksheet!$D$5*Worksheet!$D$9*(IF(Request!$D51=Worksheet!$A$47,Worksheet!D$47,IF(Request!$D51=Worksheet!$A$48,Worksheet!D$48,IF(Request!$D51=Worksheet!$A$49,Worksheet!D$49,IF(Request!$D51=Worksheet!$A$50,Worksheet!D$50,IF(Request!$D51=Worksheet!$A$51,Worksheet!D$51,IF(Request!$D51=Worksheet!$A$52,Worksheet!D$52,IF(Request!$D51=Worksheet!$A$53,Worksheet!D$53,IF(Request!$D51=Worksheet!$A$54,Worksheet!D$54,IF(Request!$D51=Worksheet!$A$55,Worksheet!D$55))))))))))),0)+ROUND(O24/Worksheet!$D$5*Worksheet!$D$10*(IF(Request!$D51=Worksheet!$A$47,Worksheet!E$47,IF(Request!$D51=Worksheet!$A$48,Worksheet!E$48,IF(Request!$D51=Worksheet!$A$49,Worksheet!E$49,IF(Request!$D51=Worksheet!$A$50,Worksheet!E$50,IF(Request!$D51=Worksheet!$A$51,Worksheet!E$51,IF(Request!$D51=Worksheet!$A$52,Worksheet!E$52,IF(Request!$D51=Worksheet!$A$53,Worksheet!E$53,IF(Request!$D51=Worksheet!$A$54,Worksheet!E$54,IF(Request!$D51=Worksheet!$A$55,Worksheet!E$55)))))))))),0))))))))</f>
        <v>0</v>
      </c>
      <c r="P51" s="182">
        <f>IF(P24=0,0,IF(AND($D51="F-SMRA",P24=0),0,IF(AND($D51="F-SMRB",P24=0),0,IF(AND($D51="F-SMRC",P24=0),0,IF($D51=Worksheet!$A$68,Worksheet!F317,IF($D51=Worksheet!$A$69,Worksheet!F317,IF($D51=Worksheet!$A$70,Worksheet!F317,ROUND((Request!P24/Worksheet!$E$5*Worksheet!$E$9*(IF(Request!$D51=Worksheet!$A$47,Worksheet!F$47,IF(Request!$D51=Worksheet!$A$48,Worksheet!F$48,IF(Request!$D51=Worksheet!$A$49,Worksheet!F$49,IF(Request!$D51=Worksheet!$A$50,Worksheet!F$50,IF(Request!$D51=Worksheet!$A$51,Worksheet!F$51,IF(Request!$D51=Worksheet!$A$52,Worksheet!F$52,IF(Request!$D51=Worksheet!$A$53,Worksheet!F$53,IF(Request!$D51=Worksheet!$A$54,Worksheet!F$54,IF(Request!$D51=Worksheet!$A$55,Worksheet!F$55))))))))))),0)+ROUND(P24/Worksheet!$E$5*Worksheet!$E$10*(IF(Request!$D51=Worksheet!$A$47,Worksheet!G$47,IF(Request!$D51=Worksheet!$A$48,Worksheet!G$48,IF(Request!$D51=Worksheet!$A$49,Worksheet!G$49,IF(Request!$D51=Worksheet!$A$50,Worksheet!G$50,IF(Request!$D51=Worksheet!$A$51,Worksheet!G$51,IF(Request!$D51=Worksheet!$A$52,Worksheet!G$52,IF(Request!$D51=Worksheet!$A$53,Worksheet!G$53,IF(Request!$D51=Worksheet!$A$54,Worksheet!G$54,IF(Request!$D51=Worksheet!$A$55,Worksheet!G$55)))))))))),0))))))))</f>
        <v>0</v>
      </c>
      <c r="Q51" s="182">
        <f>IF(Q24=0,0,IF(AND($D51="F-SMRA",Q24=0),0,IF(AND($D51="F-SMRB",Q24=0),0,IF(AND($D51="F-SMRC",Q24=0),0,IF($D51=Worksheet!$A$68,Worksheet!H317,IF($D51=Worksheet!$A$69,Worksheet!H317,IF($D51=Worksheet!$A$70,Worksheet!H317,ROUND((Request!Q24/Worksheet!$F$5*Worksheet!$F$9*(IF(Request!$D51=Worksheet!$A$47,Worksheet!H$47,IF(Request!$D51=Worksheet!$A$48,Worksheet!H$48,IF(Request!$D51=Worksheet!$A$49,Worksheet!H$49,IF(Request!$D51=Worksheet!$A$50,Worksheet!H$50,IF(Request!$D51=Worksheet!$A$51,Worksheet!H$51,IF(Request!$D51=Worksheet!$A$52,Worksheet!H$52,IF(Request!$D51=Worksheet!$A$53,Worksheet!H$53,IF(Request!$D51=Worksheet!$A$54,Worksheet!H$54,IF(Request!$D51=Worksheet!$A$55,Worksheet!H$55))))))))))),0)+ROUND(Q24/Worksheet!$F$5*Worksheet!$F$10*(IF(Request!$D51=Worksheet!$A$47,Worksheet!I$47,IF(Request!$D51=Worksheet!$A$48,Worksheet!I$48,IF(Request!$D51=Worksheet!$A$49,Worksheet!I$49,IF(Request!$D51=Worksheet!$A$50,Worksheet!I$50,IF(Request!$D51=Worksheet!$A$51,Worksheet!I$51,IF(Request!$D51=Worksheet!$A$52,Worksheet!I$52,IF(Request!$D51=Worksheet!$A$53,Worksheet!I$53,IF(Request!$D51=Worksheet!$A$54,Worksheet!I$54,IF(Request!$D51=Worksheet!$A$55,Worksheet!I$55)))))))))),0))))))))</f>
        <v>0</v>
      </c>
      <c r="R51" s="182">
        <f>IF(R24=0,0,IF(AND($D51="F-SMRA",R24=0),0,IF(AND($D51="F-SMRB",R24=0),0,IF(AND($D51="F-SMRC",R24=0),0,IF($D51=Worksheet!$A$68,Worksheet!J317,IF($D51=Worksheet!$A$69,Worksheet!J317,IF($D51=Worksheet!$A$70,Worksheet!J317,ROUND((Request!R24/Worksheet!$G$5*Worksheet!$G$9*(IF(Request!$D51=Worksheet!$A$47,Worksheet!J$47,IF(Request!$D51=Worksheet!$A$48,Worksheet!J$48,IF(Request!$D51=Worksheet!$A$49,Worksheet!J$49,IF(Request!$D51=Worksheet!$A$50,Worksheet!J$50,IF(Request!$D51=Worksheet!$A$51,Worksheet!J$51,IF(Request!$D51=Worksheet!$A$52,Worksheet!J$52,IF(Request!$D51=Worksheet!$A$53,Worksheet!J$53,IF(Request!$D51=Worksheet!$A$54,Worksheet!J$54,IF(Request!$D51=Worksheet!$A$55,Worksheet!J$55))))))))))),0)+ROUND(R24/Worksheet!$G$5*Worksheet!$G$10*(IF(Request!$D51=Worksheet!$A$47,Worksheet!K$47,IF(Request!$D51=Worksheet!$A$48,Worksheet!K$48,IF(Request!$D51=Worksheet!$A$49,Worksheet!K$49,IF(Request!$D51=Worksheet!$A$50,Worksheet!K$50,IF(Request!$D51=Worksheet!$A$51,Worksheet!K$51,IF(Request!$D51=Worksheet!$A$52,Worksheet!K$52,IF(Request!$D51=Worksheet!$A$53,Worksheet!K$53,IF(Request!$D51=Worksheet!$A$54,Worksheet!K$54,IF(Request!$D51=Worksheet!$A$55,Worksheet!K$55)))))))))),0))))))))</f>
        <v>0</v>
      </c>
      <c r="S51" s="144">
        <f t="shared" si="7"/>
        <v>0</v>
      </c>
      <c r="T51" s="192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</row>
    <row r="52" spans="1:41" ht="11.45" hidden="1" x14ac:dyDescent="0.2">
      <c r="A52" s="91">
        <v>18</v>
      </c>
      <c r="B52" s="247">
        <f t="shared" si="8"/>
        <v>0</v>
      </c>
      <c r="C52" s="248"/>
      <c r="D52" s="156" t="s">
        <v>51</v>
      </c>
      <c r="E52" s="174" t="str">
        <f>IF($D52=Worksheet!$A$59,Worksheet!B$59,IF($D52=Worksheet!$A$60,Worksheet!B$60,IF($D52=Worksheet!$A$61,Worksheet!B$61,IF($D52=Worksheet!$A$62,Worksheet!B$62,IF($D52=Worksheet!$A$63,Worksheet!B$63,IF($D52=Worksheet!$A$64,Worksheet!B$64,IF($D52=Worksheet!$A$65,Worksheet!B$65,IF($D52=Worksheet!$A$66,Worksheet!B$66,IF($D52=Worksheet!$A$67,Worksheet!B$67,IF($D52=Worksheet!$A$68,Worksheet!B292,IF($D52=Worksheet!$A$69,Worksheet!B292,IF($D52=Worksheet!$A$70,Worksheet!B292,IF($D52=Worksheet!$A$71,"")))))))))))))</f>
        <v/>
      </c>
      <c r="F52" s="243" t="str">
        <f>IF($D52=Worksheet!$A$59,Worksheet!C$59,IF($D52=Worksheet!$A$60,Worksheet!C$60,IF($D52=Worksheet!$A$61,Worksheet!C$61,IF($D52=Worksheet!$A$62,Worksheet!C$62,IF($D52=Worksheet!$A$63,Worksheet!C$63,IF($D52=Worksheet!$A$64,Worksheet!C$64,IF($D52=Worksheet!$A$65,Worksheet!C$65,IF($D52=Worksheet!$A$66,Worksheet!C$66,IF($D52=Worksheet!$A$67,Worksheet!C$67,IF($D52=Worksheet!$A$68,Worksheet!D292,IF($D52=Worksheet!$A$69,Worksheet!D292,IF($D52=Worksheet!$A$70,Worksheet!D292,IF($D52=Worksheet!$A$71,"")))))))))))))</f>
        <v/>
      </c>
      <c r="G52" s="244"/>
      <c r="H52" s="274" t="str">
        <f>IF($D52=Worksheet!$A$59,Worksheet!D$59,IF($D52=Worksheet!$A$60,Worksheet!D$60,IF($D52=Worksheet!$A$61,Worksheet!D$61,IF($D52=Worksheet!$A$62,Worksheet!D$62,IF($D52=Worksheet!$A$63,Worksheet!D$63,IF($D52=Worksheet!$A$64,Worksheet!D$64,IF($D52=Worksheet!$A$65,Worksheet!D$65,IF($D52=Worksheet!$A$66,Worksheet!D$66,IF($D52=Worksheet!$A$67,Worksheet!D$67,IF($D52=Worksheet!$A$68,Worksheet!F292,IF($D52=Worksheet!$A$69,Worksheet!F292,IF($D52=Worksheet!$A$70,Worksheet!F292,IF($D52=Worksheet!$A$71,"")))))))))))))</f>
        <v/>
      </c>
      <c r="I52" s="275"/>
      <c r="J52" s="274" t="str">
        <f>IF($D52=Worksheet!$A$59,Worksheet!E$59,IF($D52=Worksheet!$A$60,Worksheet!E$60,IF($D52=Worksheet!$A$61,Worksheet!E$61,IF($D52=Worksheet!$A$62,Worksheet!E$62,IF($D52=Worksheet!$A$63,Worksheet!E$63,IF($D52=Worksheet!$A$64,Worksheet!E$64,IF($D52=Worksheet!$A$65,Worksheet!E$65,IF($D52=Worksheet!$A$66,Worksheet!E$66,IF($D52=Worksheet!$A$67,Worksheet!E$67,IF($D52=Worksheet!$A$68,Worksheet!H292,IF($D52=Worksheet!$A$69,Worksheet!H292,IF($D52=Worksheet!$A$70,Worksheet!H292,IF($D52=Worksheet!$A$71,"")))))))))))))</f>
        <v/>
      </c>
      <c r="K52" s="275"/>
      <c r="L52" s="274" t="str">
        <f>IF($D52=Worksheet!$A$59,Worksheet!F$59,IF($D52=Worksheet!$A$60,Worksheet!F$60,IF($D52=Worksheet!$A$61,Worksheet!F$61,IF($D52=Worksheet!$A$62,Worksheet!F$62,IF($D52=Worksheet!$A$63,Worksheet!F$63,IF($D52=Worksheet!$A$64,Worksheet!F$64,IF($D52=Worksheet!$A$65,Worksheet!F$65,IF($D52=Worksheet!$A$66,Worksheet!F$66,IF($D52=Worksheet!$A$67,Worksheet!F$67,IF($D52=Worksheet!$A$68,Worksheet!J292,IF($D52=Worksheet!$A$69,Worksheet!J292,IF($D52=Worksheet!$A$70,Worksheet!J292,IF($D52=Worksheet!$A$71,"")))))))))))))</f>
        <v/>
      </c>
      <c r="M52" s="275"/>
      <c r="N52" s="182">
        <f>IF(N25=0,0,IF(AND($D52="F-SMRA",N25=0),0,IF(AND($D52="F-SMRB",N25=0),0,IF(AND($D52="F-SMRC",N25=0),0,IF($D52=Worksheet!$A$68,Worksheet!B318,IF($D52=Worksheet!$A$69,Worksheet!B318,IF($D52=Worksheet!$A$70,Worksheet!B318,ROUND((Request!N25/Worksheet!$C$5*Worksheet!$C$9*(IF(Request!$D52=Worksheet!$A$47,Worksheet!B$47,IF(Request!$D52=Worksheet!$A$48,Worksheet!B$48,IF(Request!$D52=Worksheet!$A$49,Worksheet!B$49,IF(Request!$D52=Worksheet!$A$50,Worksheet!B$50,IF(Request!$D52=Worksheet!$A$51,Worksheet!B$51,IF(Request!$D52=Worksheet!$A$52,Worksheet!B$52,IF(Request!$D52=Worksheet!$A$53,Worksheet!B$53,IF(Request!$D52=Worksheet!$A$54,Worksheet!B$54,IF(Request!$D52=Worksheet!$A$55,Worksheet!B$55))))))))))),0)+ROUND(N25/Worksheet!$C$5*Worksheet!$C$10*(IF(Request!$D52=Worksheet!$A$47,Worksheet!C$47,IF(Request!$D52=Worksheet!$A$48,Worksheet!C$48,IF(Request!$D52=Worksheet!$A$49,Worksheet!C$49,IF(Request!$D52=Worksheet!$A$50,Worksheet!C$50,IF(Request!$D52=Worksheet!$A$51,Worksheet!C$51,IF(Request!$D52=Worksheet!$A$52,Worksheet!C$52,IF(Request!$D52=Worksheet!$A$53,Worksheet!C$53,IF(Request!$D52=Worksheet!$A$54,Worksheet!C$54,IF(Request!$D52=Worksheet!$A$55,Worksheet!C$55)))))))))),0))))))))</f>
        <v>0</v>
      </c>
      <c r="O52" s="182">
        <f>IF(O25=0,0,IF(AND($D52="F-SMRA",O25=0),0,IF(AND($D52="F-SMRB",O25=0),0,IF(AND($D52="F-SMRC",O25=0),0,IF($D52=Worksheet!$A$68,Worksheet!D318,IF($D52=Worksheet!$A$69,Worksheet!D318,IF($D52=Worksheet!$A$70,Worksheet!D318,ROUND((Request!O25/Worksheet!$D$5*Worksheet!$D$9*(IF(Request!$D52=Worksheet!$A$47,Worksheet!D$47,IF(Request!$D52=Worksheet!$A$48,Worksheet!D$48,IF(Request!$D52=Worksheet!$A$49,Worksheet!D$49,IF(Request!$D52=Worksheet!$A$50,Worksheet!D$50,IF(Request!$D52=Worksheet!$A$51,Worksheet!D$51,IF(Request!$D52=Worksheet!$A$52,Worksheet!D$52,IF(Request!$D52=Worksheet!$A$53,Worksheet!D$53,IF(Request!$D52=Worksheet!$A$54,Worksheet!D$54,IF(Request!$D52=Worksheet!$A$55,Worksheet!D$55))))))))))),0)+ROUND(O25/Worksheet!$D$5*Worksheet!$D$10*(IF(Request!$D52=Worksheet!$A$47,Worksheet!E$47,IF(Request!$D52=Worksheet!$A$48,Worksheet!E$48,IF(Request!$D52=Worksheet!$A$49,Worksheet!E$49,IF(Request!$D52=Worksheet!$A$50,Worksheet!E$50,IF(Request!$D52=Worksheet!$A$51,Worksheet!E$51,IF(Request!$D52=Worksheet!$A$52,Worksheet!E$52,IF(Request!$D52=Worksheet!$A$53,Worksheet!E$53,IF(Request!$D52=Worksheet!$A$54,Worksheet!E$54,IF(Request!$D52=Worksheet!$A$55,Worksheet!E$55)))))))))),0))))))))</f>
        <v>0</v>
      </c>
      <c r="P52" s="182">
        <f>IF(P25=0,0,IF(AND($D52="F-SMRA",P25=0),0,IF(AND($D52="F-SMRB",P25=0),0,IF(AND($D52="F-SMRC",P25=0),0,IF($D52=Worksheet!$A$68,Worksheet!F318,IF($D52=Worksheet!$A$69,Worksheet!F318,IF($D52=Worksheet!$A$70,Worksheet!F318,ROUND((Request!P25/Worksheet!$E$5*Worksheet!$E$9*(IF(Request!$D52=Worksheet!$A$47,Worksheet!F$47,IF(Request!$D52=Worksheet!$A$48,Worksheet!F$48,IF(Request!$D52=Worksheet!$A$49,Worksheet!F$49,IF(Request!$D52=Worksheet!$A$50,Worksheet!F$50,IF(Request!$D52=Worksheet!$A$51,Worksheet!F$51,IF(Request!$D52=Worksheet!$A$52,Worksheet!F$52,IF(Request!$D52=Worksheet!$A$53,Worksheet!F$53,IF(Request!$D52=Worksheet!$A$54,Worksheet!F$54,IF(Request!$D52=Worksheet!$A$55,Worksheet!F$55))))))))))),0)+ROUND(P25/Worksheet!$E$5*Worksheet!$E$10*(IF(Request!$D52=Worksheet!$A$47,Worksheet!G$47,IF(Request!$D52=Worksheet!$A$48,Worksheet!G$48,IF(Request!$D52=Worksheet!$A$49,Worksheet!G$49,IF(Request!$D52=Worksheet!$A$50,Worksheet!G$50,IF(Request!$D52=Worksheet!$A$51,Worksheet!G$51,IF(Request!$D52=Worksheet!$A$52,Worksheet!G$52,IF(Request!$D52=Worksheet!$A$53,Worksheet!G$53,IF(Request!$D52=Worksheet!$A$54,Worksheet!G$54,IF(Request!$D52=Worksheet!$A$55,Worksheet!G$55)))))))))),0))))))))</f>
        <v>0</v>
      </c>
      <c r="Q52" s="182">
        <f>IF(Q25=0,0,IF(AND($D52="F-SMRA",Q25=0),0,IF(AND($D52="F-SMRB",Q25=0),0,IF(AND($D52="F-SMRC",Q25=0),0,IF($D52=Worksheet!$A$68,Worksheet!H318,IF($D52=Worksheet!$A$69,Worksheet!H318,IF($D52=Worksheet!$A$70,Worksheet!H318,ROUND((Request!Q25/Worksheet!$F$5*Worksheet!$F$9*(IF(Request!$D52=Worksheet!$A$47,Worksheet!H$47,IF(Request!$D52=Worksheet!$A$48,Worksheet!H$48,IF(Request!$D52=Worksheet!$A$49,Worksheet!H$49,IF(Request!$D52=Worksheet!$A$50,Worksheet!H$50,IF(Request!$D52=Worksheet!$A$51,Worksheet!H$51,IF(Request!$D52=Worksheet!$A$52,Worksheet!H$52,IF(Request!$D52=Worksheet!$A$53,Worksheet!H$53,IF(Request!$D52=Worksheet!$A$54,Worksheet!H$54,IF(Request!$D52=Worksheet!$A$55,Worksheet!H$55))))))))))),0)+ROUND(Q25/Worksheet!$F$5*Worksheet!$F$10*(IF(Request!$D52=Worksheet!$A$47,Worksheet!I$47,IF(Request!$D52=Worksheet!$A$48,Worksheet!I$48,IF(Request!$D52=Worksheet!$A$49,Worksheet!I$49,IF(Request!$D52=Worksheet!$A$50,Worksheet!I$50,IF(Request!$D52=Worksheet!$A$51,Worksheet!I$51,IF(Request!$D52=Worksheet!$A$52,Worksheet!I$52,IF(Request!$D52=Worksheet!$A$53,Worksheet!I$53,IF(Request!$D52=Worksheet!$A$54,Worksheet!I$54,IF(Request!$D52=Worksheet!$A$55,Worksheet!I$55)))))))))),0))))))))</f>
        <v>0</v>
      </c>
      <c r="R52" s="182">
        <f>IF(R25=0,0,IF(AND($D52="F-SMRA",R25=0),0,IF(AND($D52="F-SMRB",R25=0),0,IF(AND($D52="F-SMRC",R25=0),0,IF($D52=Worksheet!$A$68,Worksheet!J318,IF($D52=Worksheet!$A$69,Worksheet!J318,IF($D52=Worksheet!$A$70,Worksheet!J318,ROUND((Request!R25/Worksheet!$G$5*Worksheet!$G$9*(IF(Request!$D52=Worksheet!$A$47,Worksheet!J$47,IF(Request!$D52=Worksheet!$A$48,Worksheet!J$48,IF(Request!$D52=Worksheet!$A$49,Worksheet!J$49,IF(Request!$D52=Worksheet!$A$50,Worksheet!J$50,IF(Request!$D52=Worksheet!$A$51,Worksheet!J$51,IF(Request!$D52=Worksheet!$A$52,Worksheet!J$52,IF(Request!$D52=Worksheet!$A$53,Worksheet!J$53,IF(Request!$D52=Worksheet!$A$54,Worksheet!J$54,IF(Request!$D52=Worksheet!$A$55,Worksheet!J$55))))))))))),0)+ROUND(R25/Worksheet!$G$5*Worksheet!$G$10*(IF(Request!$D52=Worksheet!$A$47,Worksheet!K$47,IF(Request!$D52=Worksheet!$A$48,Worksheet!K$48,IF(Request!$D52=Worksheet!$A$49,Worksheet!K$49,IF(Request!$D52=Worksheet!$A$50,Worksheet!K$50,IF(Request!$D52=Worksheet!$A$51,Worksheet!K$51,IF(Request!$D52=Worksheet!$A$52,Worksheet!K$52,IF(Request!$D52=Worksheet!$A$53,Worksheet!K$53,IF(Request!$D52=Worksheet!$A$54,Worksheet!K$54,IF(Request!$D52=Worksheet!$A$55,Worksheet!K$55)))))))))),0))))))))</f>
        <v>0</v>
      </c>
      <c r="S52" s="144">
        <f t="shared" si="7"/>
        <v>0</v>
      </c>
      <c r="T52" s="192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</row>
    <row r="53" spans="1:41" ht="11.45" hidden="1" x14ac:dyDescent="0.2">
      <c r="A53" s="91">
        <v>19</v>
      </c>
      <c r="B53" s="247">
        <f t="shared" si="8"/>
        <v>0</v>
      </c>
      <c r="C53" s="248"/>
      <c r="D53" s="156" t="s">
        <v>51</v>
      </c>
      <c r="E53" s="174" t="str">
        <f>IF($D53=Worksheet!$A$59,Worksheet!B$59,IF($D53=Worksheet!$A$60,Worksheet!B$60,IF($D53=Worksheet!$A$61,Worksheet!B$61,IF($D53=Worksheet!$A$62,Worksheet!B$62,IF($D53=Worksheet!$A$63,Worksheet!B$63,IF($D53=Worksheet!$A$64,Worksheet!B$64,IF($D53=Worksheet!$A$65,Worksheet!B$65,IF($D53=Worksheet!$A$66,Worksheet!B$66,IF($D53=Worksheet!$A$67,Worksheet!B$67,IF($D53=Worksheet!$A$68,Worksheet!B293,IF($D53=Worksheet!$A$69,Worksheet!B293,IF($D53=Worksheet!$A$70,Worksheet!B293,IF($D53=Worksheet!$A$71,"")))))))))))))</f>
        <v/>
      </c>
      <c r="F53" s="243" t="str">
        <f>IF($D53=Worksheet!$A$59,Worksheet!C$59,IF($D53=Worksheet!$A$60,Worksheet!C$60,IF($D53=Worksheet!$A$61,Worksheet!C$61,IF($D53=Worksheet!$A$62,Worksheet!C$62,IF($D53=Worksheet!$A$63,Worksheet!C$63,IF($D53=Worksheet!$A$64,Worksheet!C$64,IF($D53=Worksheet!$A$65,Worksheet!C$65,IF($D53=Worksheet!$A$66,Worksheet!C$66,IF($D53=Worksheet!$A$67,Worksheet!C$67,IF($D53=Worksheet!$A$68,Worksheet!D293,IF($D53=Worksheet!$A$69,Worksheet!D293,IF($D53=Worksheet!$A$70,Worksheet!D293,IF($D53=Worksheet!$A$71,"")))))))))))))</f>
        <v/>
      </c>
      <c r="G53" s="244"/>
      <c r="H53" s="274" t="str">
        <f>IF($D53=Worksheet!$A$59,Worksheet!D$59,IF($D53=Worksheet!$A$60,Worksheet!D$60,IF($D53=Worksheet!$A$61,Worksheet!D$61,IF($D53=Worksheet!$A$62,Worksheet!D$62,IF($D53=Worksheet!$A$63,Worksheet!D$63,IF($D53=Worksheet!$A$64,Worksheet!D$64,IF($D53=Worksheet!$A$65,Worksheet!D$65,IF($D53=Worksheet!$A$66,Worksheet!D$66,IF($D53=Worksheet!$A$67,Worksheet!D$67,IF($D53=Worksheet!$A$68,Worksheet!F293,IF($D53=Worksheet!$A$69,Worksheet!F293,IF($D53=Worksheet!$A$70,Worksheet!F293,IF($D53=Worksheet!$A$71,"")))))))))))))</f>
        <v/>
      </c>
      <c r="I53" s="275"/>
      <c r="J53" s="274" t="str">
        <f>IF($D53=Worksheet!$A$59,Worksheet!E$59,IF($D53=Worksheet!$A$60,Worksheet!E$60,IF($D53=Worksheet!$A$61,Worksheet!E$61,IF($D53=Worksheet!$A$62,Worksheet!E$62,IF($D53=Worksheet!$A$63,Worksheet!E$63,IF($D53=Worksheet!$A$64,Worksheet!E$64,IF($D53=Worksheet!$A$65,Worksheet!E$65,IF($D53=Worksheet!$A$66,Worksheet!E$66,IF($D53=Worksheet!$A$67,Worksheet!E$67,IF($D53=Worksheet!$A$68,Worksheet!H293,IF($D53=Worksheet!$A$69,Worksheet!H293,IF($D53=Worksheet!$A$70,Worksheet!H293,IF($D53=Worksheet!$A$71,"")))))))))))))</f>
        <v/>
      </c>
      <c r="K53" s="275"/>
      <c r="L53" s="274" t="str">
        <f>IF($D53=Worksheet!$A$59,Worksheet!F$59,IF($D53=Worksheet!$A$60,Worksheet!F$60,IF($D53=Worksheet!$A$61,Worksheet!F$61,IF($D53=Worksheet!$A$62,Worksheet!F$62,IF($D53=Worksheet!$A$63,Worksheet!F$63,IF($D53=Worksheet!$A$64,Worksheet!F$64,IF($D53=Worksheet!$A$65,Worksheet!F$65,IF($D53=Worksheet!$A$66,Worksheet!F$66,IF($D53=Worksheet!$A$67,Worksheet!F$67,IF($D53=Worksheet!$A$68,Worksheet!J293,IF($D53=Worksheet!$A$69,Worksheet!J293,IF($D53=Worksheet!$A$70,Worksheet!J293,IF($D53=Worksheet!$A$71,"")))))))))))))</f>
        <v/>
      </c>
      <c r="M53" s="275"/>
      <c r="N53" s="182">
        <f>IF(N26=0,0,IF(AND($D53="F-SMRA",N26=0),0,IF(AND($D53="F-SMRB",N26=0),0,IF(AND($D53="F-SMRC",N26=0),0,IF($D53=Worksheet!$A$68,Worksheet!B319,IF($D53=Worksheet!$A$69,Worksheet!B319,IF($D53=Worksheet!$A$70,Worksheet!B319,ROUND((Request!N26/Worksheet!$C$5*Worksheet!$C$9*(IF(Request!$D53=Worksheet!$A$47,Worksheet!B$47,IF(Request!$D53=Worksheet!$A$48,Worksheet!B$48,IF(Request!$D53=Worksheet!$A$49,Worksheet!B$49,IF(Request!$D53=Worksheet!$A$50,Worksheet!B$50,IF(Request!$D53=Worksheet!$A$51,Worksheet!B$51,IF(Request!$D53=Worksheet!$A$52,Worksheet!B$52,IF(Request!$D53=Worksheet!$A$53,Worksheet!B$53,IF(Request!$D53=Worksheet!$A$54,Worksheet!B$54,IF(Request!$D53=Worksheet!$A$55,Worksheet!B$55))))))))))),0)+ROUND(N26/Worksheet!$C$5*Worksheet!$C$10*(IF(Request!$D53=Worksheet!$A$47,Worksheet!C$47,IF(Request!$D53=Worksheet!$A$48,Worksheet!C$48,IF(Request!$D53=Worksheet!$A$49,Worksheet!C$49,IF(Request!$D53=Worksheet!$A$50,Worksheet!C$50,IF(Request!$D53=Worksheet!$A$51,Worksheet!C$51,IF(Request!$D53=Worksheet!$A$52,Worksheet!C$52,IF(Request!$D53=Worksheet!$A$53,Worksheet!C$53,IF(Request!$D53=Worksheet!$A$54,Worksheet!C$54,IF(Request!$D53=Worksheet!$A$55,Worksheet!C$55)))))))))),0))))))))</f>
        <v>0</v>
      </c>
      <c r="O53" s="182">
        <f>IF(O26=0,0,IF(AND($D53="F-SMRA",O26=0),0,IF(AND($D53="F-SMRB",O26=0),0,IF(AND($D53="F-SMRC",O26=0),0,IF($D53=Worksheet!$A$68,Worksheet!D319,IF($D53=Worksheet!$A$69,Worksheet!D319,IF($D53=Worksheet!$A$70,Worksheet!D319,ROUND((Request!O26/Worksheet!$D$5*Worksheet!$D$9*(IF(Request!$D53=Worksheet!$A$47,Worksheet!D$47,IF(Request!$D53=Worksheet!$A$48,Worksheet!D$48,IF(Request!$D53=Worksheet!$A$49,Worksheet!D$49,IF(Request!$D53=Worksheet!$A$50,Worksheet!D$50,IF(Request!$D53=Worksheet!$A$51,Worksheet!D$51,IF(Request!$D53=Worksheet!$A$52,Worksheet!D$52,IF(Request!$D53=Worksheet!$A$53,Worksheet!D$53,IF(Request!$D53=Worksheet!$A$54,Worksheet!D$54,IF(Request!$D53=Worksheet!$A$55,Worksheet!D$55))))))))))),0)+ROUND(O26/Worksheet!$D$5*Worksheet!$D$10*(IF(Request!$D53=Worksheet!$A$47,Worksheet!E$47,IF(Request!$D53=Worksheet!$A$48,Worksheet!E$48,IF(Request!$D53=Worksheet!$A$49,Worksheet!E$49,IF(Request!$D53=Worksheet!$A$50,Worksheet!E$50,IF(Request!$D53=Worksheet!$A$51,Worksheet!E$51,IF(Request!$D53=Worksheet!$A$52,Worksheet!E$52,IF(Request!$D53=Worksheet!$A$53,Worksheet!E$53,IF(Request!$D53=Worksheet!$A$54,Worksheet!E$54,IF(Request!$D53=Worksheet!$A$55,Worksheet!E$55)))))))))),0))))))))</f>
        <v>0</v>
      </c>
      <c r="P53" s="182">
        <f>IF(P26=0,0,IF(AND($D53="F-SMRA",P26=0),0,IF(AND($D53="F-SMRB",P26=0),0,IF(AND($D53="F-SMRC",P26=0),0,IF($D53=Worksheet!$A$68,Worksheet!F319,IF($D53=Worksheet!$A$69,Worksheet!F319,IF($D53=Worksheet!$A$70,Worksheet!F319,ROUND((Request!P26/Worksheet!$E$5*Worksheet!$E$9*(IF(Request!$D53=Worksheet!$A$47,Worksheet!F$47,IF(Request!$D53=Worksheet!$A$48,Worksheet!F$48,IF(Request!$D53=Worksheet!$A$49,Worksheet!F$49,IF(Request!$D53=Worksheet!$A$50,Worksheet!F$50,IF(Request!$D53=Worksheet!$A$51,Worksheet!F$51,IF(Request!$D53=Worksheet!$A$52,Worksheet!F$52,IF(Request!$D53=Worksheet!$A$53,Worksheet!F$53,IF(Request!$D53=Worksheet!$A$54,Worksheet!F$54,IF(Request!$D53=Worksheet!$A$55,Worksheet!F$55))))))))))),0)+ROUND(P26/Worksheet!$E$5*Worksheet!$E$10*(IF(Request!$D53=Worksheet!$A$47,Worksheet!G$47,IF(Request!$D53=Worksheet!$A$48,Worksheet!G$48,IF(Request!$D53=Worksheet!$A$49,Worksheet!G$49,IF(Request!$D53=Worksheet!$A$50,Worksheet!G$50,IF(Request!$D53=Worksheet!$A$51,Worksheet!G$51,IF(Request!$D53=Worksheet!$A$52,Worksheet!G$52,IF(Request!$D53=Worksheet!$A$53,Worksheet!G$53,IF(Request!$D53=Worksheet!$A$54,Worksheet!G$54,IF(Request!$D53=Worksheet!$A$55,Worksheet!G$55)))))))))),0))))))))</f>
        <v>0</v>
      </c>
      <c r="Q53" s="182">
        <f>IF(Q26=0,0,IF(AND($D53="F-SMRA",Q26=0),0,IF(AND($D53="F-SMRB",Q26=0),0,IF(AND($D53="F-SMRC",Q26=0),0,IF($D53=Worksheet!$A$68,Worksheet!H319,IF($D53=Worksheet!$A$69,Worksheet!H319,IF($D53=Worksheet!$A$70,Worksheet!H319,ROUND((Request!Q26/Worksheet!$F$5*Worksheet!$F$9*(IF(Request!$D53=Worksheet!$A$47,Worksheet!H$47,IF(Request!$D53=Worksheet!$A$48,Worksheet!H$48,IF(Request!$D53=Worksheet!$A$49,Worksheet!H$49,IF(Request!$D53=Worksheet!$A$50,Worksheet!H$50,IF(Request!$D53=Worksheet!$A$51,Worksheet!H$51,IF(Request!$D53=Worksheet!$A$52,Worksheet!H$52,IF(Request!$D53=Worksheet!$A$53,Worksheet!H$53,IF(Request!$D53=Worksheet!$A$54,Worksheet!H$54,IF(Request!$D53=Worksheet!$A$55,Worksheet!H$55))))))))))),0)+ROUND(Q26/Worksheet!$F$5*Worksheet!$F$10*(IF(Request!$D53=Worksheet!$A$47,Worksheet!I$47,IF(Request!$D53=Worksheet!$A$48,Worksheet!I$48,IF(Request!$D53=Worksheet!$A$49,Worksheet!I$49,IF(Request!$D53=Worksheet!$A$50,Worksheet!I$50,IF(Request!$D53=Worksheet!$A$51,Worksheet!I$51,IF(Request!$D53=Worksheet!$A$52,Worksheet!I$52,IF(Request!$D53=Worksheet!$A$53,Worksheet!I$53,IF(Request!$D53=Worksheet!$A$54,Worksheet!I$54,IF(Request!$D53=Worksheet!$A$55,Worksheet!I$55)))))))))),0))))))))</f>
        <v>0</v>
      </c>
      <c r="R53" s="182">
        <f>IF(R26=0,0,IF(AND($D53="F-SMRA",R26=0),0,IF(AND($D53="F-SMRB",R26=0),0,IF(AND($D53="F-SMRC",R26=0),0,IF($D53=Worksheet!$A$68,Worksheet!J319,IF($D53=Worksheet!$A$69,Worksheet!J319,IF($D53=Worksheet!$A$70,Worksheet!J319,ROUND((Request!R26/Worksheet!$G$5*Worksheet!$G$9*(IF(Request!$D53=Worksheet!$A$47,Worksheet!J$47,IF(Request!$D53=Worksheet!$A$48,Worksheet!J$48,IF(Request!$D53=Worksheet!$A$49,Worksheet!J$49,IF(Request!$D53=Worksheet!$A$50,Worksheet!J$50,IF(Request!$D53=Worksheet!$A$51,Worksheet!J$51,IF(Request!$D53=Worksheet!$A$52,Worksheet!J$52,IF(Request!$D53=Worksheet!$A$53,Worksheet!J$53,IF(Request!$D53=Worksheet!$A$54,Worksheet!J$54,IF(Request!$D53=Worksheet!$A$55,Worksheet!J$55))))))))))),0)+ROUND(R26/Worksheet!$G$5*Worksheet!$G$10*(IF(Request!$D53=Worksheet!$A$47,Worksheet!K$47,IF(Request!$D53=Worksheet!$A$48,Worksheet!K$48,IF(Request!$D53=Worksheet!$A$49,Worksheet!K$49,IF(Request!$D53=Worksheet!$A$50,Worksheet!K$50,IF(Request!$D53=Worksheet!$A$51,Worksheet!K$51,IF(Request!$D53=Worksheet!$A$52,Worksheet!K$52,IF(Request!$D53=Worksheet!$A$53,Worksheet!K$53,IF(Request!$D53=Worksheet!$A$54,Worksheet!K$54,IF(Request!$D53=Worksheet!$A$55,Worksheet!K$55)))))))))),0))))))))</f>
        <v>0</v>
      </c>
      <c r="S53" s="144">
        <f t="shared" si="7"/>
        <v>0</v>
      </c>
      <c r="T53" s="192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  <c r="AO53" s="184"/>
    </row>
    <row r="54" spans="1:41" ht="11.45" hidden="1" x14ac:dyDescent="0.2">
      <c r="A54" s="91">
        <v>20</v>
      </c>
      <c r="B54" s="247">
        <f t="shared" si="8"/>
        <v>0</v>
      </c>
      <c r="C54" s="248"/>
      <c r="D54" s="156" t="s">
        <v>51</v>
      </c>
      <c r="E54" s="174" t="str">
        <f>IF($D54=Worksheet!$A$59,Worksheet!B$59,IF($D54=Worksheet!$A$60,Worksheet!B$60,IF($D54=Worksheet!$A$61,Worksheet!B$61,IF($D54=Worksheet!$A$62,Worksheet!B$62,IF($D54=Worksheet!$A$63,Worksheet!B$63,IF($D54=Worksheet!$A$64,Worksheet!B$64,IF($D54=Worksheet!$A$65,Worksheet!B$65,IF($D54=Worksheet!$A$66,Worksheet!B$66,IF($D54=Worksheet!$A$67,Worksheet!B$67,IF($D54=Worksheet!$A$68,Worksheet!B294,IF($D54=Worksheet!$A$69,Worksheet!B294,IF($D54=Worksheet!$A$70,Worksheet!B294,IF($D54=Worksheet!$A$71,"")))))))))))))</f>
        <v/>
      </c>
      <c r="F54" s="243" t="str">
        <f>IF($D54=Worksheet!$A$59,Worksheet!C$59,IF($D54=Worksheet!$A$60,Worksheet!C$60,IF($D54=Worksheet!$A$61,Worksheet!C$61,IF($D54=Worksheet!$A$62,Worksheet!C$62,IF($D54=Worksheet!$A$63,Worksheet!C$63,IF($D54=Worksheet!$A$64,Worksheet!C$64,IF($D54=Worksheet!$A$65,Worksheet!C$65,IF($D54=Worksheet!$A$66,Worksheet!C$66,IF($D54=Worksheet!$A$67,Worksheet!C$67,IF($D54=Worksheet!$A$68,Worksheet!D294,IF($D54=Worksheet!$A$69,Worksheet!D294,IF($D54=Worksheet!$A$70,Worksheet!D294,IF($D54=Worksheet!$A$71,"")))))))))))))</f>
        <v/>
      </c>
      <c r="G54" s="244"/>
      <c r="H54" s="274" t="str">
        <f>IF($D54=Worksheet!$A$59,Worksheet!D$59,IF($D54=Worksheet!$A$60,Worksheet!D$60,IF($D54=Worksheet!$A$61,Worksheet!D$61,IF($D54=Worksheet!$A$62,Worksheet!D$62,IF($D54=Worksheet!$A$63,Worksheet!D$63,IF($D54=Worksheet!$A$64,Worksheet!D$64,IF($D54=Worksheet!$A$65,Worksheet!D$65,IF($D54=Worksheet!$A$66,Worksheet!D$66,IF($D54=Worksheet!$A$67,Worksheet!D$67,IF($D54=Worksheet!$A$68,Worksheet!F294,IF($D54=Worksheet!$A$69,Worksheet!F294,IF($D54=Worksheet!$A$70,Worksheet!F294,IF($D54=Worksheet!$A$71,"")))))))))))))</f>
        <v/>
      </c>
      <c r="I54" s="275"/>
      <c r="J54" s="274" t="str">
        <f>IF($D54=Worksheet!$A$59,Worksheet!E$59,IF($D54=Worksheet!$A$60,Worksheet!E$60,IF($D54=Worksheet!$A$61,Worksheet!E$61,IF($D54=Worksheet!$A$62,Worksheet!E$62,IF($D54=Worksheet!$A$63,Worksheet!E$63,IF($D54=Worksheet!$A$64,Worksheet!E$64,IF($D54=Worksheet!$A$65,Worksheet!E$65,IF($D54=Worksheet!$A$66,Worksheet!E$66,IF($D54=Worksheet!$A$67,Worksheet!E$67,IF($D54=Worksheet!$A$68,Worksheet!H294,IF($D54=Worksheet!$A$69,Worksheet!H294,IF($D54=Worksheet!$A$70,Worksheet!H294,IF($D54=Worksheet!$A$71,"")))))))))))))</f>
        <v/>
      </c>
      <c r="K54" s="275"/>
      <c r="L54" s="274" t="str">
        <f>IF($D54=Worksheet!$A$59,Worksheet!F$59,IF($D54=Worksheet!$A$60,Worksheet!F$60,IF($D54=Worksheet!$A$61,Worksheet!F$61,IF($D54=Worksheet!$A$62,Worksheet!F$62,IF($D54=Worksheet!$A$63,Worksheet!F$63,IF($D54=Worksheet!$A$64,Worksheet!F$64,IF($D54=Worksheet!$A$65,Worksheet!F$65,IF($D54=Worksheet!$A$66,Worksheet!F$66,IF($D54=Worksheet!$A$67,Worksheet!F$67,IF($D54=Worksheet!$A$68,Worksheet!J294,IF($D54=Worksheet!$A$69,Worksheet!J294,IF($D54=Worksheet!$A$70,Worksheet!J294,IF($D54=Worksheet!$A$71,"")))))))))))))</f>
        <v/>
      </c>
      <c r="M54" s="275"/>
      <c r="N54" s="182">
        <f>IF(N27=0,0,IF(AND($D54="F-SMRA",N27=0),0,IF(AND($D54="F-SMRB",N27=0),0,IF(AND($D54="F-SMRC",N27=0),0,IF($D54=Worksheet!$A$68,Worksheet!B320,IF($D54=Worksheet!$A$69,Worksheet!B320,IF($D54=Worksheet!$A$70,Worksheet!B320,ROUND((Request!N27/Worksheet!$C$5*Worksheet!$C$9*(IF(Request!$D54=Worksheet!$A$47,Worksheet!B$47,IF(Request!$D54=Worksheet!$A$48,Worksheet!B$48,IF(Request!$D54=Worksheet!$A$49,Worksheet!B$49,IF(Request!$D54=Worksheet!$A$50,Worksheet!B$50,IF(Request!$D54=Worksheet!$A$51,Worksheet!B$51,IF(Request!$D54=Worksheet!$A$52,Worksheet!B$52,IF(Request!$D54=Worksheet!$A$53,Worksheet!B$53,IF(Request!$D54=Worksheet!$A$54,Worksheet!B$54,IF(Request!$D54=Worksheet!$A$55,Worksheet!B$55))))))))))),0)+ROUND(N27/Worksheet!$C$5*Worksheet!$C$10*(IF(Request!$D54=Worksheet!$A$47,Worksheet!C$47,IF(Request!$D54=Worksheet!$A$48,Worksheet!C$48,IF(Request!$D54=Worksheet!$A$49,Worksheet!C$49,IF(Request!$D54=Worksheet!$A$50,Worksheet!C$50,IF(Request!$D54=Worksheet!$A$51,Worksheet!C$51,IF(Request!$D54=Worksheet!$A$52,Worksheet!C$52,IF(Request!$D54=Worksheet!$A$53,Worksheet!C$53,IF(Request!$D54=Worksheet!$A$54,Worksheet!C$54,IF(Request!$D54=Worksheet!$A$55,Worksheet!C$55)))))))))),0))))))))</f>
        <v>0</v>
      </c>
      <c r="O54" s="182">
        <f>IF(O27=0,0,IF(AND($D54="F-SMRA",O27=0),0,IF(AND($D54="F-SMRB",O27=0),0,IF(AND($D54="F-SMRC",O27=0),0,IF($D54=Worksheet!$A$68,Worksheet!D320,IF($D54=Worksheet!$A$69,Worksheet!D320,IF($D54=Worksheet!$A$70,Worksheet!D320,ROUND((Request!O27/Worksheet!$D$5*Worksheet!$D$9*(IF(Request!$D54=Worksheet!$A$47,Worksheet!D$47,IF(Request!$D54=Worksheet!$A$48,Worksheet!D$48,IF(Request!$D54=Worksheet!$A$49,Worksheet!D$49,IF(Request!$D54=Worksheet!$A$50,Worksheet!D$50,IF(Request!$D54=Worksheet!$A$51,Worksheet!D$51,IF(Request!$D54=Worksheet!$A$52,Worksheet!D$52,IF(Request!$D54=Worksheet!$A$53,Worksheet!D$53,IF(Request!$D54=Worksheet!$A$54,Worksheet!D$54,IF(Request!$D54=Worksheet!$A$55,Worksheet!D$55))))))))))),0)+ROUND(O27/Worksheet!$D$5*Worksheet!$D$10*(IF(Request!$D54=Worksheet!$A$47,Worksheet!E$47,IF(Request!$D54=Worksheet!$A$48,Worksheet!E$48,IF(Request!$D54=Worksheet!$A$49,Worksheet!E$49,IF(Request!$D54=Worksheet!$A$50,Worksheet!E$50,IF(Request!$D54=Worksheet!$A$51,Worksheet!E$51,IF(Request!$D54=Worksheet!$A$52,Worksheet!E$52,IF(Request!$D54=Worksheet!$A$53,Worksheet!E$53,IF(Request!$D54=Worksheet!$A$54,Worksheet!E$54,IF(Request!$D54=Worksheet!$A$55,Worksheet!E$55)))))))))),0))))))))</f>
        <v>0</v>
      </c>
      <c r="P54" s="182">
        <f>IF(P27=0,0,IF(AND($D54="F-SMRA",P27=0),0,IF(AND($D54="F-SMRB",P27=0),0,IF(AND($D54="F-SMRC",P27=0),0,IF($D54=Worksheet!$A$68,Worksheet!F320,IF($D54=Worksheet!$A$69,Worksheet!F320,IF($D54=Worksheet!$A$70,Worksheet!F320,ROUND((Request!P27/Worksheet!$E$5*Worksheet!$E$9*(IF(Request!$D54=Worksheet!$A$47,Worksheet!F$47,IF(Request!$D54=Worksheet!$A$48,Worksheet!F$48,IF(Request!$D54=Worksheet!$A$49,Worksheet!F$49,IF(Request!$D54=Worksheet!$A$50,Worksheet!F$50,IF(Request!$D54=Worksheet!$A$51,Worksheet!F$51,IF(Request!$D54=Worksheet!$A$52,Worksheet!F$52,IF(Request!$D54=Worksheet!$A$53,Worksheet!F$53,IF(Request!$D54=Worksheet!$A$54,Worksheet!F$54,IF(Request!$D54=Worksheet!$A$55,Worksheet!F$55))))))))))),0)+ROUND(P27/Worksheet!$E$5*Worksheet!$E$10*(IF(Request!$D54=Worksheet!$A$47,Worksheet!G$47,IF(Request!$D54=Worksheet!$A$48,Worksheet!G$48,IF(Request!$D54=Worksheet!$A$49,Worksheet!G$49,IF(Request!$D54=Worksheet!$A$50,Worksheet!G$50,IF(Request!$D54=Worksheet!$A$51,Worksheet!G$51,IF(Request!$D54=Worksheet!$A$52,Worksheet!G$52,IF(Request!$D54=Worksheet!$A$53,Worksheet!G$53,IF(Request!$D54=Worksheet!$A$54,Worksheet!G$54,IF(Request!$D54=Worksheet!$A$55,Worksheet!G$55)))))))))),0))))))))</f>
        <v>0</v>
      </c>
      <c r="Q54" s="182">
        <f>IF(Q27=0,0,IF(AND($D54="F-SMRA",Q27=0),0,IF(AND($D54="F-SMRB",Q27=0),0,IF(AND($D54="F-SMRC",Q27=0),0,IF($D54=Worksheet!$A$68,Worksheet!H320,IF($D54=Worksheet!$A$69,Worksheet!H320,IF($D54=Worksheet!$A$70,Worksheet!H320,ROUND((Request!Q27/Worksheet!$F$5*Worksheet!$F$9*(IF(Request!$D54=Worksheet!$A$47,Worksheet!H$47,IF(Request!$D54=Worksheet!$A$48,Worksheet!H$48,IF(Request!$D54=Worksheet!$A$49,Worksheet!H$49,IF(Request!$D54=Worksheet!$A$50,Worksheet!H$50,IF(Request!$D54=Worksheet!$A$51,Worksheet!H$51,IF(Request!$D54=Worksheet!$A$52,Worksheet!H$52,IF(Request!$D54=Worksheet!$A$53,Worksheet!H$53,IF(Request!$D54=Worksheet!$A$54,Worksheet!H$54,IF(Request!$D54=Worksheet!$A$55,Worksheet!H$55))))))))))),0)+ROUND(Q27/Worksheet!$F$5*Worksheet!$F$10*(IF(Request!$D54=Worksheet!$A$47,Worksheet!I$47,IF(Request!$D54=Worksheet!$A$48,Worksheet!I$48,IF(Request!$D54=Worksheet!$A$49,Worksheet!I$49,IF(Request!$D54=Worksheet!$A$50,Worksheet!I$50,IF(Request!$D54=Worksheet!$A$51,Worksheet!I$51,IF(Request!$D54=Worksheet!$A$52,Worksheet!I$52,IF(Request!$D54=Worksheet!$A$53,Worksheet!I$53,IF(Request!$D54=Worksheet!$A$54,Worksheet!I$54,IF(Request!$D54=Worksheet!$A$55,Worksheet!I$55)))))))))),0))))))))</f>
        <v>0</v>
      </c>
      <c r="R54" s="182">
        <f>IF(R27=0,0,IF(AND($D54="F-SMRA",R27=0),0,IF(AND($D54="F-SMRB",R27=0),0,IF(AND($D54="F-SMRC",R27=0),0,IF($D54=Worksheet!$A$68,Worksheet!J320,IF($D54=Worksheet!$A$69,Worksheet!J320,IF($D54=Worksheet!$A$70,Worksheet!J320,ROUND((Request!R27/Worksheet!$G$5*Worksheet!$G$9*(IF(Request!$D54=Worksheet!$A$47,Worksheet!J$47,IF(Request!$D54=Worksheet!$A$48,Worksheet!J$48,IF(Request!$D54=Worksheet!$A$49,Worksheet!J$49,IF(Request!$D54=Worksheet!$A$50,Worksheet!J$50,IF(Request!$D54=Worksheet!$A$51,Worksheet!J$51,IF(Request!$D54=Worksheet!$A$52,Worksheet!J$52,IF(Request!$D54=Worksheet!$A$53,Worksheet!J$53,IF(Request!$D54=Worksheet!$A$54,Worksheet!J$54,IF(Request!$D54=Worksheet!$A$55,Worksheet!J$55))))))))))),0)+ROUND(R27/Worksheet!$G$5*Worksheet!$G$10*(IF(Request!$D54=Worksheet!$A$47,Worksheet!K$47,IF(Request!$D54=Worksheet!$A$48,Worksheet!K$48,IF(Request!$D54=Worksheet!$A$49,Worksheet!K$49,IF(Request!$D54=Worksheet!$A$50,Worksheet!K$50,IF(Request!$D54=Worksheet!$A$51,Worksheet!K$51,IF(Request!$D54=Worksheet!$A$52,Worksheet!K$52,IF(Request!$D54=Worksheet!$A$53,Worksheet!K$53,IF(Request!$D54=Worksheet!$A$54,Worksheet!K$54,IF(Request!$D54=Worksheet!$A$55,Worksheet!K$55)))))))))),0))))))))</f>
        <v>0</v>
      </c>
      <c r="S54" s="144">
        <f t="shared" si="7"/>
        <v>0</v>
      </c>
      <c r="T54" s="192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</row>
    <row r="55" spans="1:41" ht="11.45" hidden="1" x14ac:dyDescent="0.2">
      <c r="A55" s="91">
        <v>21</v>
      </c>
      <c r="B55" s="247">
        <f t="shared" si="8"/>
        <v>0</v>
      </c>
      <c r="C55" s="248"/>
      <c r="D55" s="156" t="s">
        <v>51</v>
      </c>
      <c r="E55" s="174" t="str">
        <f>IF($D55=Worksheet!$A$59,Worksheet!B$59,IF($D55=Worksheet!$A$60,Worksheet!B$60,IF($D55=Worksheet!$A$61,Worksheet!B$61,IF($D55=Worksheet!$A$62,Worksheet!B$62,IF($D55=Worksheet!$A$63,Worksheet!B$63,IF($D55=Worksheet!$A$64,Worksheet!B$64,IF($D55=Worksheet!$A$65,Worksheet!B$65,IF($D55=Worksheet!$A$66,Worksheet!B$66,IF($D55=Worksheet!$A$67,Worksheet!B$67,IF($D55=Worksheet!$A$68,Worksheet!B295,IF($D55=Worksheet!$A$69,Worksheet!B295,IF($D55=Worksheet!$A$70,Worksheet!B295,IF($D55=Worksheet!$A$71,"")))))))))))))</f>
        <v/>
      </c>
      <c r="F55" s="243" t="str">
        <f>IF($D55=Worksheet!$A$59,Worksheet!C$59,IF($D55=Worksheet!$A$60,Worksheet!C$60,IF($D55=Worksheet!$A$61,Worksheet!C$61,IF($D55=Worksheet!$A$62,Worksheet!C$62,IF($D55=Worksheet!$A$63,Worksheet!C$63,IF($D55=Worksheet!$A$64,Worksheet!C$64,IF($D55=Worksheet!$A$65,Worksheet!C$65,IF($D55=Worksheet!$A$66,Worksheet!C$66,IF($D55=Worksheet!$A$67,Worksheet!C$67,IF($D55=Worksheet!$A$68,Worksheet!D295,IF($D55=Worksheet!$A$69,Worksheet!D295,IF($D55=Worksheet!$A$70,Worksheet!D295,IF($D55=Worksheet!$A$71,"")))))))))))))</f>
        <v/>
      </c>
      <c r="G55" s="244"/>
      <c r="H55" s="274" t="str">
        <f>IF($D55=Worksheet!$A$59,Worksheet!D$59,IF($D55=Worksheet!$A$60,Worksheet!D$60,IF($D55=Worksheet!$A$61,Worksheet!D$61,IF($D55=Worksheet!$A$62,Worksheet!D$62,IF($D55=Worksheet!$A$63,Worksheet!D$63,IF($D55=Worksheet!$A$64,Worksheet!D$64,IF($D55=Worksheet!$A$65,Worksheet!D$65,IF($D55=Worksheet!$A$66,Worksheet!D$66,IF($D55=Worksheet!$A$67,Worksheet!D$67,IF($D55=Worksheet!$A$68,Worksheet!F295,IF($D55=Worksheet!$A$69,Worksheet!F295,IF($D55=Worksheet!$A$70,Worksheet!F295,IF($D55=Worksheet!$A$71,"")))))))))))))</f>
        <v/>
      </c>
      <c r="I55" s="275"/>
      <c r="J55" s="274" t="str">
        <f>IF($D55=Worksheet!$A$59,Worksheet!E$59,IF($D55=Worksheet!$A$60,Worksheet!E$60,IF($D55=Worksheet!$A$61,Worksheet!E$61,IF($D55=Worksheet!$A$62,Worksheet!E$62,IF($D55=Worksheet!$A$63,Worksheet!E$63,IF($D55=Worksheet!$A$64,Worksheet!E$64,IF($D55=Worksheet!$A$65,Worksheet!E$65,IF($D55=Worksheet!$A$66,Worksheet!E$66,IF($D55=Worksheet!$A$67,Worksheet!E$67,IF($D55=Worksheet!$A$68,Worksheet!H295,IF($D55=Worksheet!$A$69,Worksheet!H295,IF($D55=Worksheet!$A$70,Worksheet!H295,IF($D55=Worksheet!$A$71,"")))))))))))))</f>
        <v/>
      </c>
      <c r="K55" s="275"/>
      <c r="L55" s="274" t="str">
        <f>IF($D55=Worksheet!$A$59,Worksheet!F$59,IF($D55=Worksheet!$A$60,Worksheet!F$60,IF($D55=Worksheet!$A$61,Worksheet!F$61,IF($D55=Worksheet!$A$62,Worksheet!F$62,IF($D55=Worksheet!$A$63,Worksheet!F$63,IF($D55=Worksheet!$A$64,Worksheet!F$64,IF($D55=Worksheet!$A$65,Worksheet!F$65,IF($D55=Worksheet!$A$66,Worksheet!F$66,IF($D55=Worksheet!$A$67,Worksheet!F$67,IF($D55=Worksheet!$A$68,Worksheet!J295,IF($D55=Worksheet!$A$69,Worksheet!J295,IF($D55=Worksheet!$A$70,Worksheet!J295,IF($D55=Worksheet!$A$71,"")))))))))))))</f>
        <v/>
      </c>
      <c r="M55" s="275"/>
      <c r="N55" s="182">
        <f>IF(N28=0,0,IF(AND($D55="F-SMRA",N28=0),0,IF(AND($D55="F-SMRB",N28=0),0,IF(AND($D55="F-SMRC",N28=0),0,IF($D55=Worksheet!$A$68,Worksheet!B321,IF($D55=Worksheet!$A$69,Worksheet!B321,IF($D55=Worksheet!$A$70,Worksheet!B321,ROUND((Request!N28/Worksheet!$C$5*Worksheet!$C$9*(IF(Request!$D55=Worksheet!$A$47,Worksheet!B$47,IF(Request!$D55=Worksheet!$A$48,Worksheet!B$48,IF(Request!$D55=Worksheet!$A$49,Worksheet!B$49,IF(Request!$D55=Worksheet!$A$50,Worksheet!B$50,IF(Request!$D55=Worksheet!$A$51,Worksheet!B$51,IF(Request!$D55=Worksheet!$A$52,Worksheet!B$52,IF(Request!$D55=Worksheet!$A$53,Worksheet!B$53,IF(Request!$D55=Worksheet!$A$54,Worksheet!B$54,IF(Request!$D55=Worksheet!$A$55,Worksheet!B$55))))))))))),0)+ROUND(N28/Worksheet!$C$5*Worksheet!$C$10*(IF(Request!$D55=Worksheet!$A$47,Worksheet!C$47,IF(Request!$D55=Worksheet!$A$48,Worksheet!C$48,IF(Request!$D55=Worksheet!$A$49,Worksheet!C$49,IF(Request!$D55=Worksheet!$A$50,Worksheet!C$50,IF(Request!$D55=Worksheet!$A$51,Worksheet!C$51,IF(Request!$D55=Worksheet!$A$52,Worksheet!C$52,IF(Request!$D55=Worksheet!$A$53,Worksheet!C$53,IF(Request!$D55=Worksheet!$A$54,Worksheet!C$54,IF(Request!$D55=Worksheet!$A$55,Worksheet!C$55)))))))))),0))))))))</f>
        <v>0</v>
      </c>
      <c r="O55" s="182">
        <f>IF(O28=0,0,IF(AND($D55="F-SMRA",O28=0),0,IF(AND($D55="F-SMRB",O28=0),0,IF(AND($D55="F-SMRC",O28=0),0,IF($D55=Worksheet!$A$68,Worksheet!D321,IF($D55=Worksheet!$A$69,Worksheet!D321,IF($D55=Worksheet!$A$70,Worksheet!D321,ROUND((Request!O28/Worksheet!$D$5*Worksheet!$D$9*(IF(Request!$D55=Worksheet!$A$47,Worksheet!D$47,IF(Request!$D55=Worksheet!$A$48,Worksheet!D$48,IF(Request!$D55=Worksheet!$A$49,Worksheet!D$49,IF(Request!$D55=Worksheet!$A$50,Worksheet!D$50,IF(Request!$D55=Worksheet!$A$51,Worksheet!D$51,IF(Request!$D55=Worksheet!$A$52,Worksheet!D$52,IF(Request!$D55=Worksheet!$A$53,Worksheet!D$53,IF(Request!$D55=Worksheet!$A$54,Worksheet!D$54,IF(Request!$D55=Worksheet!$A$55,Worksheet!D$55))))))))))),0)+ROUND(O28/Worksheet!$D$5*Worksheet!$D$10*(IF(Request!$D55=Worksheet!$A$47,Worksheet!E$47,IF(Request!$D55=Worksheet!$A$48,Worksheet!E$48,IF(Request!$D55=Worksheet!$A$49,Worksheet!E$49,IF(Request!$D55=Worksheet!$A$50,Worksheet!E$50,IF(Request!$D55=Worksheet!$A$51,Worksheet!E$51,IF(Request!$D55=Worksheet!$A$52,Worksheet!E$52,IF(Request!$D55=Worksheet!$A$53,Worksheet!E$53,IF(Request!$D55=Worksheet!$A$54,Worksheet!E$54,IF(Request!$D55=Worksheet!$A$55,Worksheet!E$55)))))))))),0))))))))</f>
        <v>0</v>
      </c>
      <c r="P55" s="182">
        <f>IF(P28=0,0,IF(AND($D55="F-SMRA",P28=0),0,IF(AND($D55="F-SMRB",P28=0),0,IF(AND($D55="F-SMRC",P28=0),0,IF($D55=Worksheet!$A$68,Worksheet!F321,IF($D55=Worksheet!$A$69,Worksheet!F321,IF($D55=Worksheet!$A$70,Worksheet!F321,ROUND((Request!P28/Worksheet!$E$5*Worksheet!$E$9*(IF(Request!$D55=Worksheet!$A$47,Worksheet!F$47,IF(Request!$D55=Worksheet!$A$48,Worksheet!F$48,IF(Request!$D55=Worksheet!$A$49,Worksheet!F$49,IF(Request!$D55=Worksheet!$A$50,Worksheet!F$50,IF(Request!$D55=Worksheet!$A$51,Worksheet!F$51,IF(Request!$D55=Worksheet!$A$52,Worksheet!F$52,IF(Request!$D55=Worksheet!$A$53,Worksheet!F$53,IF(Request!$D55=Worksheet!$A$54,Worksheet!F$54,IF(Request!$D55=Worksheet!$A$55,Worksheet!F$55))))))))))),0)+ROUND(P28/Worksheet!$E$5*Worksheet!$E$10*(IF(Request!$D55=Worksheet!$A$47,Worksheet!G$47,IF(Request!$D55=Worksheet!$A$48,Worksheet!G$48,IF(Request!$D55=Worksheet!$A$49,Worksheet!G$49,IF(Request!$D55=Worksheet!$A$50,Worksheet!G$50,IF(Request!$D55=Worksheet!$A$51,Worksheet!G$51,IF(Request!$D55=Worksheet!$A$52,Worksheet!G$52,IF(Request!$D55=Worksheet!$A$53,Worksheet!G$53,IF(Request!$D55=Worksheet!$A$54,Worksheet!G$54,IF(Request!$D55=Worksheet!$A$55,Worksheet!G$55)))))))))),0))))))))</f>
        <v>0</v>
      </c>
      <c r="Q55" s="182">
        <f>IF(Q28=0,0,IF(AND($D55="F-SMRA",Q28=0),0,IF(AND($D55="F-SMRB",Q28=0),0,IF(AND($D55="F-SMRC",Q28=0),0,IF($D55=Worksheet!$A$68,Worksheet!H321,IF($D55=Worksheet!$A$69,Worksheet!H321,IF($D55=Worksheet!$A$70,Worksheet!H321,ROUND((Request!Q28/Worksheet!$F$5*Worksheet!$F$9*(IF(Request!$D55=Worksheet!$A$47,Worksheet!H$47,IF(Request!$D55=Worksheet!$A$48,Worksheet!H$48,IF(Request!$D55=Worksheet!$A$49,Worksheet!H$49,IF(Request!$D55=Worksheet!$A$50,Worksheet!H$50,IF(Request!$D55=Worksheet!$A$51,Worksheet!H$51,IF(Request!$D55=Worksheet!$A$52,Worksheet!H$52,IF(Request!$D55=Worksheet!$A$53,Worksheet!H$53,IF(Request!$D55=Worksheet!$A$54,Worksheet!H$54,IF(Request!$D55=Worksheet!$A$55,Worksheet!H$55))))))))))),0)+ROUND(Q28/Worksheet!$F$5*Worksheet!$F$10*(IF(Request!$D55=Worksheet!$A$47,Worksheet!I$47,IF(Request!$D55=Worksheet!$A$48,Worksheet!I$48,IF(Request!$D55=Worksheet!$A$49,Worksheet!I$49,IF(Request!$D55=Worksheet!$A$50,Worksheet!I$50,IF(Request!$D55=Worksheet!$A$51,Worksheet!I$51,IF(Request!$D55=Worksheet!$A$52,Worksheet!I$52,IF(Request!$D55=Worksheet!$A$53,Worksheet!I$53,IF(Request!$D55=Worksheet!$A$54,Worksheet!I$54,IF(Request!$D55=Worksheet!$A$55,Worksheet!I$55)))))))))),0))))))))</f>
        <v>0</v>
      </c>
      <c r="R55" s="182">
        <f>IF(R28=0,0,IF(AND($D55="F-SMRA",R28=0),0,IF(AND($D55="F-SMRB",R28=0),0,IF(AND($D55="F-SMRC",R28=0),0,IF($D55=Worksheet!$A$68,Worksheet!J321,IF($D55=Worksheet!$A$69,Worksheet!J321,IF($D55=Worksheet!$A$70,Worksheet!J321,ROUND((Request!R28/Worksheet!$G$5*Worksheet!$G$9*(IF(Request!$D55=Worksheet!$A$47,Worksheet!J$47,IF(Request!$D55=Worksheet!$A$48,Worksheet!J$48,IF(Request!$D55=Worksheet!$A$49,Worksheet!J$49,IF(Request!$D55=Worksheet!$A$50,Worksheet!J$50,IF(Request!$D55=Worksheet!$A$51,Worksheet!J$51,IF(Request!$D55=Worksheet!$A$52,Worksheet!J$52,IF(Request!$D55=Worksheet!$A$53,Worksheet!J$53,IF(Request!$D55=Worksheet!$A$54,Worksheet!J$54,IF(Request!$D55=Worksheet!$A$55,Worksheet!J$55))))))))))),0)+ROUND(R28/Worksheet!$G$5*Worksheet!$G$10*(IF(Request!$D55=Worksheet!$A$47,Worksheet!K$47,IF(Request!$D55=Worksheet!$A$48,Worksheet!K$48,IF(Request!$D55=Worksheet!$A$49,Worksheet!K$49,IF(Request!$D55=Worksheet!$A$50,Worksheet!K$50,IF(Request!$D55=Worksheet!$A$51,Worksheet!K$51,IF(Request!$D55=Worksheet!$A$52,Worksheet!K$52,IF(Request!$D55=Worksheet!$A$53,Worksheet!K$53,IF(Request!$D55=Worksheet!$A$54,Worksheet!K$54,IF(Request!$D55=Worksheet!$A$55,Worksheet!K$55)))))))))),0))))))))</f>
        <v>0</v>
      </c>
      <c r="S55" s="144">
        <f t="shared" si="7"/>
        <v>0</v>
      </c>
      <c r="T55" s="192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</row>
    <row r="56" spans="1:41" ht="11.45" hidden="1" x14ac:dyDescent="0.2">
      <c r="A56" s="91">
        <v>22</v>
      </c>
      <c r="B56" s="247">
        <f t="shared" si="8"/>
        <v>0</v>
      </c>
      <c r="C56" s="248"/>
      <c r="D56" s="156" t="s">
        <v>51</v>
      </c>
      <c r="E56" s="174" t="str">
        <f>IF($D56=Worksheet!$A$59,Worksheet!B$59,IF($D56=Worksheet!$A$60,Worksheet!B$60,IF($D56=Worksheet!$A$61,Worksheet!B$61,IF($D56=Worksheet!$A$62,Worksheet!B$62,IF($D56=Worksheet!$A$63,Worksheet!B$63,IF($D56=Worksheet!$A$64,Worksheet!B$64,IF($D56=Worksheet!$A$65,Worksheet!B$65,IF($D56=Worksheet!$A$66,Worksheet!B$66,IF($D56=Worksheet!$A$67,Worksheet!B$67,IF($D56=Worksheet!$A$68,Worksheet!B296,IF($D56=Worksheet!$A$69,Worksheet!B296,IF($D56=Worksheet!$A$70,Worksheet!B296,IF($D56=Worksheet!$A$71,"")))))))))))))</f>
        <v/>
      </c>
      <c r="F56" s="243" t="str">
        <f>IF($D56=Worksheet!$A$59,Worksheet!C$59,IF($D56=Worksheet!$A$60,Worksheet!C$60,IF($D56=Worksheet!$A$61,Worksheet!C$61,IF($D56=Worksheet!$A$62,Worksheet!C$62,IF($D56=Worksheet!$A$63,Worksheet!C$63,IF($D56=Worksheet!$A$64,Worksheet!C$64,IF($D56=Worksheet!$A$65,Worksheet!C$65,IF($D56=Worksheet!$A$66,Worksheet!C$66,IF($D56=Worksheet!$A$67,Worksheet!C$67,IF($D56=Worksheet!$A$68,Worksheet!D296,IF($D56=Worksheet!$A$69,Worksheet!D296,IF($D56=Worksheet!$A$70,Worksheet!D296,IF($D56=Worksheet!$A$71,"")))))))))))))</f>
        <v/>
      </c>
      <c r="G56" s="244"/>
      <c r="H56" s="274" t="str">
        <f>IF($D56=Worksheet!$A$59,Worksheet!D$59,IF($D56=Worksheet!$A$60,Worksheet!D$60,IF($D56=Worksheet!$A$61,Worksheet!D$61,IF($D56=Worksheet!$A$62,Worksheet!D$62,IF($D56=Worksheet!$A$63,Worksheet!D$63,IF($D56=Worksheet!$A$64,Worksheet!D$64,IF($D56=Worksheet!$A$65,Worksheet!D$65,IF($D56=Worksheet!$A$66,Worksheet!D$66,IF($D56=Worksheet!$A$67,Worksheet!D$67,IF($D56=Worksheet!$A$68,Worksheet!F296,IF($D56=Worksheet!$A$69,Worksheet!F296,IF($D56=Worksheet!$A$70,Worksheet!F296,IF($D56=Worksheet!$A$71,"")))))))))))))</f>
        <v/>
      </c>
      <c r="I56" s="275"/>
      <c r="J56" s="274" t="str">
        <f>IF($D56=Worksheet!$A$59,Worksheet!E$59,IF($D56=Worksheet!$A$60,Worksheet!E$60,IF($D56=Worksheet!$A$61,Worksheet!E$61,IF($D56=Worksheet!$A$62,Worksheet!E$62,IF($D56=Worksheet!$A$63,Worksheet!E$63,IF($D56=Worksheet!$A$64,Worksheet!E$64,IF($D56=Worksheet!$A$65,Worksheet!E$65,IF($D56=Worksheet!$A$66,Worksheet!E$66,IF($D56=Worksheet!$A$67,Worksheet!E$67,IF($D56=Worksheet!$A$68,Worksheet!H296,IF($D56=Worksheet!$A$69,Worksheet!H296,IF($D56=Worksheet!$A$70,Worksheet!H296,IF($D56=Worksheet!$A$71,"")))))))))))))</f>
        <v/>
      </c>
      <c r="K56" s="275"/>
      <c r="L56" s="274" t="str">
        <f>IF($D56=Worksheet!$A$59,Worksheet!F$59,IF($D56=Worksheet!$A$60,Worksheet!F$60,IF($D56=Worksheet!$A$61,Worksheet!F$61,IF($D56=Worksheet!$A$62,Worksheet!F$62,IF($D56=Worksheet!$A$63,Worksheet!F$63,IF($D56=Worksheet!$A$64,Worksheet!F$64,IF($D56=Worksheet!$A$65,Worksheet!F$65,IF($D56=Worksheet!$A$66,Worksheet!F$66,IF($D56=Worksheet!$A$67,Worksheet!F$67,IF($D56=Worksheet!$A$68,Worksheet!J296,IF($D56=Worksheet!$A$69,Worksheet!J296,IF($D56=Worksheet!$A$70,Worksheet!J296,IF($D56=Worksheet!$A$71,"")))))))))))))</f>
        <v/>
      </c>
      <c r="M56" s="275"/>
      <c r="N56" s="182">
        <f>IF(N29=0,0,IF(AND($D56="F-SMRA",N29=0),0,IF(AND($D56="F-SMRB",N29=0),0,IF(AND($D56="F-SMRC",N29=0),0,IF($D56=Worksheet!$A$68,Worksheet!B322,IF($D56=Worksheet!$A$69,Worksheet!B322,IF($D56=Worksheet!$A$70,Worksheet!B322,ROUND((Request!N29/Worksheet!$C$5*Worksheet!$C$9*(IF(Request!$D56=Worksheet!$A$47,Worksheet!B$47,IF(Request!$D56=Worksheet!$A$48,Worksheet!B$48,IF(Request!$D56=Worksheet!$A$49,Worksheet!B$49,IF(Request!$D56=Worksheet!$A$50,Worksheet!B$50,IF(Request!$D56=Worksheet!$A$51,Worksheet!B$51,IF(Request!$D56=Worksheet!$A$52,Worksheet!B$52,IF(Request!$D56=Worksheet!$A$53,Worksheet!B$53,IF(Request!$D56=Worksheet!$A$54,Worksheet!B$54,IF(Request!$D56=Worksheet!$A$55,Worksheet!B$55))))))))))),0)+ROUND(N29/Worksheet!$C$5*Worksheet!$C$10*(IF(Request!$D56=Worksheet!$A$47,Worksheet!C$47,IF(Request!$D56=Worksheet!$A$48,Worksheet!C$48,IF(Request!$D56=Worksheet!$A$49,Worksheet!C$49,IF(Request!$D56=Worksheet!$A$50,Worksheet!C$50,IF(Request!$D56=Worksheet!$A$51,Worksheet!C$51,IF(Request!$D56=Worksheet!$A$52,Worksheet!C$52,IF(Request!$D56=Worksheet!$A$53,Worksheet!C$53,IF(Request!$D56=Worksheet!$A$54,Worksheet!C$54,IF(Request!$D56=Worksheet!$A$55,Worksheet!C$55)))))))))),0))))))))</f>
        <v>0</v>
      </c>
      <c r="O56" s="182">
        <f>IF(O29=0,0,IF(AND($D56="F-SMRA",O29=0),0,IF(AND($D56="F-SMRB",O29=0),0,IF(AND($D56="F-SMRC",O29=0),0,IF($D56=Worksheet!$A$68,Worksheet!D322,IF($D56=Worksheet!$A$69,Worksheet!D322,IF($D56=Worksheet!$A$70,Worksheet!D322,ROUND((Request!O29/Worksheet!$D$5*Worksheet!$D$9*(IF(Request!$D56=Worksheet!$A$47,Worksheet!D$47,IF(Request!$D56=Worksheet!$A$48,Worksheet!D$48,IF(Request!$D56=Worksheet!$A$49,Worksheet!D$49,IF(Request!$D56=Worksheet!$A$50,Worksheet!D$50,IF(Request!$D56=Worksheet!$A$51,Worksheet!D$51,IF(Request!$D56=Worksheet!$A$52,Worksheet!D$52,IF(Request!$D56=Worksheet!$A$53,Worksheet!D$53,IF(Request!$D56=Worksheet!$A$54,Worksheet!D$54,IF(Request!$D56=Worksheet!$A$55,Worksheet!D$55))))))))))),0)+ROUND(O29/Worksheet!$D$5*Worksheet!$D$10*(IF(Request!$D56=Worksheet!$A$47,Worksheet!E$47,IF(Request!$D56=Worksheet!$A$48,Worksheet!E$48,IF(Request!$D56=Worksheet!$A$49,Worksheet!E$49,IF(Request!$D56=Worksheet!$A$50,Worksheet!E$50,IF(Request!$D56=Worksheet!$A$51,Worksheet!E$51,IF(Request!$D56=Worksheet!$A$52,Worksheet!E$52,IF(Request!$D56=Worksheet!$A$53,Worksheet!E$53,IF(Request!$D56=Worksheet!$A$54,Worksheet!E$54,IF(Request!$D56=Worksheet!$A$55,Worksheet!E$55)))))))))),0))))))))</f>
        <v>0</v>
      </c>
      <c r="P56" s="182">
        <f>IF(P29=0,0,IF(AND($D56="F-SMRA",P29=0),0,IF(AND($D56="F-SMRB",P29=0),0,IF(AND($D56="F-SMRC",P29=0),0,IF($D56=Worksheet!$A$68,Worksheet!F322,IF($D56=Worksheet!$A$69,Worksheet!F322,IF($D56=Worksheet!$A$70,Worksheet!F322,ROUND((Request!P29/Worksheet!$E$5*Worksheet!$E$9*(IF(Request!$D56=Worksheet!$A$47,Worksheet!F$47,IF(Request!$D56=Worksheet!$A$48,Worksheet!F$48,IF(Request!$D56=Worksheet!$A$49,Worksheet!F$49,IF(Request!$D56=Worksheet!$A$50,Worksheet!F$50,IF(Request!$D56=Worksheet!$A$51,Worksheet!F$51,IF(Request!$D56=Worksheet!$A$52,Worksheet!F$52,IF(Request!$D56=Worksheet!$A$53,Worksheet!F$53,IF(Request!$D56=Worksheet!$A$54,Worksheet!F$54,IF(Request!$D56=Worksheet!$A$55,Worksheet!F$55))))))))))),0)+ROUND(P29/Worksheet!$E$5*Worksheet!$E$10*(IF(Request!$D56=Worksheet!$A$47,Worksheet!G$47,IF(Request!$D56=Worksheet!$A$48,Worksheet!G$48,IF(Request!$D56=Worksheet!$A$49,Worksheet!G$49,IF(Request!$D56=Worksheet!$A$50,Worksheet!G$50,IF(Request!$D56=Worksheet!$A$51,Worksheet!G$51,IF(Request!$D56=Worksheet!$A$52,Worksheet!G$52,IF(Request!$D56=Worksheet!$A$53,Worksheet!G$53,IF(Request!$D56=Worksheet!$A$54,Worksheet!G$54,IF(Request!$D56=Worksheet!$A$55,Worksheet!G$55)))))))))),0))))))))</f>
        <v>0</v>
      </c>
      <c r="Q56" s="182">
        <f>IF(Q29=0,0,IF(AND($D56="F-SMRA",Q29=0),0,IF(AND($D56="F-SMRB",Q29=0),0,IF(AND($D56="F-SMRC",Q29=0),0,IF($D56=Worksheet!$A$68,Worksheet!H322,IF($D56=Worksheet!$A$69,Worksheet!H322,IF($D56=Worksheet!$A$70,Worksheet!H322,ROUND((Request!Q29/Worksheet!$F$5*Worksheet!$F$9*(IF(Request!$D56=Worksheet!$A$47,Worksheet!H$47,IF(Request!$D56=Worksheet!$A$48,Worksheet!H$48,IF(Request!$D56=Worksheet!$A$49,Worksheet!H$49,IF(Request!$D56=Worksheet!$A$50,Worksheet!H$50,IF(Request!$D56=Worksheet!$A$51,Worksheet!H$51,IF(Request!$D56=Worksheet!$A$52,Worksheet!H$52,IF(Request!$D56=Worksheet!$A$53,Worksheet!H$53,IF(Request!$D56=Worksheet!$A$54,Worksheet!H$54,IF(Request!$D56=Worksheet!$A$55,Worksheet!H$55))))))))))),0)+ROUND(Q29/Worksheet!$F$5*Worksheet!$F$10*(IF(Request!$D56=Worksheet!$A$47,Worksheet!I$47,IF(Request!$D56=Worksheet!$A$48,Worksheet!I$48,IF(Request!$D56=Worksheet!$A$49,Worksheet!I$49,IF(Request!$D56=Worksheet!$A$50,Worksheet!I$50,IF(Request!$D56=Worksheet!$A$51,Worksheet!I$51,IF(Request!$D56=Worksheet!$A$52,Worksheet!I$52,IF(Request!$D56=Worksheet!$A$53,Worksheet!I$53,IF(Request!$D56=Worksheet!$A$54,Worksheet!I$54,IF(Request!$D56=Worksheet!$A$55,Worksheet!I$55)))))))))),0))))))))</f>
        <v>0</v>
      </c>
      <c r="R56" s="182">
        <f>IF(R29=0,0,IF(AND($D56="F-SMRA",R29=0),0,IF(AND($D56="F-SMRB",R29=0),0,IF(AND($D56="F-SMRC",R29=0),0,IF($D56=Worksheet!$A$68,Worksheet!J322,IF($D56=Worksheet!$A$69,Worksheet!J322,IF($D56=Worksheet!$A$70,Worksheet!J322,ROUND((Request!R29/Worksheet!$G$5*Worksheet!$G$9*(IF(Request!$D56=Worksheet!$A$47,Worksheet!J$47,IF(Request!$D56=Worksheet!$A$48,Worksheet!J$48,IF(Request!$D56=Worksheet!$A$49,Worksheet!J$49,IF(Request!$D56=Worksheet!$A$50,Worksheet!J$50,IF(Request!$D56=Worksheet!$A$51,Worksheet!J$51,IF(Request!$D56=Worksheet!$A$52,Worksheet!J$52,IF(Request!$D56=Worksheet!$A$53,Worksheet!J$53,IF(Request!$D56=Worksheet!$A$54,Worksheet!J$54,IF(Request!$D56=Worksheet!$A$55,Worksheet!J$55))))))))))),0)+ROUND(R29/Worksheet!$G$5*Worksheet!$G$10*(IF(Request!$D56=Worksheet!$A$47,Worksheet!K$47,IF(Request!$D56=Worksheet!$A$48,Worksheet!K$48,IF(Request!$D56=Worksheet!$A$49,Worksheet!K$49,IF(Request!$D56=Worksheet!$A$50,Worksheet!K$50,IF(Request!$D56=Worksheet!$A$51,Worksheet!K$51,IF(Request!$D56=Worksheet!$A$52,Worksheet!K$52,IF(Request!$D56=Worksheet!$A$53,Worksheet!K$53,IF(Request!$D56=Worksheet!$A$54,Worksheet!K$54,IF(Request!$D56=Worksheet!$A$55,Worksheet!K$55)))))))))),0))))))))</f>
        <v>0</v>
      </c>
      <c r="S56" s="144">
        <f t="shared" si="7"/>
        <v>0</v>
      </c>
      <c r="T56" s="192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  <c r="AN56" s="184"/>
      <c r="AO56" s="184"/>
    </row>
    <row r="57" spans="1:41" ht="11.45" hidden="1" x14ac:dyDescent="0.2">
      <c r="A57" s="91">
        <v>23</v>
      </c>
      <c r="B57" s="247">
        <f t="shared" si="8"/>
        <v>0</v>
      </c>
      <c r="C57" s="248"/>
      <c r="D57" s="156" t="s">
        <v>51</v>
      </c>
      <c r="E57" s="174" t="str">
        <f>IF($D57=Worksheet!$A$59,Worksheet!B$59,IF($D57=Worksheet!$A$60,Worksheet!B$60,IF($D57=Worksheet!$A$61,Worksheet!B$61,IF($D57=Worksheet!$A$62,Worksheet!B$62,IF($D57=Worksheet!$A$63,Worksheet!B$63,IF($D57=Worksheet!$A$64,Worksheet!B$64,IF($D57=Worksheet!$A$65,Worksheet!B$65,IF($D57=Worksheet!$A$66,Worksheet!B$66,IF($D57=Worksheet!$A$67,Worksheet!B$67,IF($D57=Worksheet!$A$68,Worksheet!B297,IF($D57=Worksheet!$A$69,Worksheet!B297,IF($D57=Worksheet!$A$70,Worksheet!B297,IF($D57=Worksheet!$A$71,"")))))))))))))</f>
        <v/>
      </c>
      <c r="F57" s="243" t="str">
        <f>IF($D57=Worksheet!$A$59,Worksheet!C$59,IF($D57=Worksheet!$A$60,Worksheet!C$60,IF($D57=Worksheet!$A$61,Worksheet!C$61,IF($D57=Worksheet!$A$62,Worksheet!C$62,IF($D57=Worksheet!$A$63,Worksheet!C$63,IF($D57=Worksheet!$A$64,Worksheet!C$64,IF($D57=Worksheet!$A$65,Worksheet!C$65,IF($D57=Worksheet!$A$66,Worksheet!C$66,IF($D57=Worksheet!$A$67,Worksheet!C$67,IF($D57=Worksheet!$A$68,Worksheet!D297,IF($D57=Worksheet!$A$69,Worksheet!D297,IF($D57=Worksheet!$A$70,Worksheet!D297,IF($D57=Worksheet!$A$71,"")))))))))))))</f>
        <v/>
      </c>
      <c r="G57" s="244"/>
      <c r="H57" s="274" t="str">
        <f>IF($D57=Worksheet!$A$59,Worksheet!D$59,IF($D57=Worksheet!$A$60,Worksheet!D$60,IF($D57=Worksheet!$A$61,Worksheet!D$61,IF($D57=Worksheet!$A$62,Worksheet!D$62,IF($D57=Worksheet!$A$63,Worksheet!D$63,IF($D57=Worksheet!$A$64,Worksheet!D$64,IF($D57=Worksheet!$A$65,Worksheet!D$65,IF($D57=Worksheet!$A$66,Worksheet!D$66,IF($D57=Worksheet!$A$67,Worksheet!D$67,IF($D57=Worksheet!$A$68,Worksheet!F297,IF($D57=Worksheet!$A$69,Worksheet!F297,IF($D57=Worksheet!$A$70,Worksheet!F297,IF($D57=Worksheet!$A$71,"")))))))))))))</f>
        <v/>
      </c>
      <c r="I57" s="275"/>
      <c r="J57" s="274" t="str">
        <f>IF($D57=Worksheet!$A$59,Worksheet!E$59,IF($D57=Worksheet!$A$60,Worksheet!E$60,IF($D57=Worksheet!$A$61,Worksheet!E$61,IF($D57=Worksheet!$A$62,Worksheet!E$62,IF($D57=Worksheet!$A$63,Worksheet!E$63,IF($D57=Worksheet!$A$64,Worksheet!E$64,IF($D57=Worksheet!$A$65,Worksheet!E$65,IF($D57=Worksheet!$A$66,Worksheet!E$66,IF($D57=Worksheet!$A$67,Worksheet!E$67,IF($D57=Worksheet!$A$68,Worksheet!H297,IF($D57=Worksheet!$A$69,Worksheet!H297,IF($D57=Worksheet!$A$70,Worksheet!H297,IF($D57=Worksheet!$A$71,"")))))))))))))</f>
        <v/>
      </c>
      <c r="K57" s="275"/>
      <c r="L57" s="274" t="str">
        <f>IF($D57=Worksheet!$A$59,Worksheet!F$59,IF($D57=Worksheet!$A$60,Worksheet!F$60,IF($D57=Worksheet!$A$61,Worksheet!F$61,IF($D57=Worksheet!$A$62,Worksheet!F$62,IF($D57=Worksheet!$A$63,Worksheet!F$63,IF($D57=Worksheet!$A$64,Worksheet!F$64,IF($D57=Worksheet!$A$65,Worksheet!F$65,IF($D57=Worksheet!$A$66,Worksheet!F$66,IF($D57=Worksheet!$A$67,Worksheet!F$67,IF($D57=Worksheet!$A$68,Worksheet!J297,IF($D57=Worksheet!$A$69,Worksheet!J297,IF($D57=Worksheet!$A$70,Worksheet!J297,IF($D57=Worksheet!$A$71,"")))))))))))))</f>
        <v/>
      </c>
      <c r="M57" s="275"/>
      <c r="N57" s="182">
        <f>IF(N30=0,0,IF(AND($D57="F-SMRA",N30=0),0,IF(AND($D57="F-SMRB",N30=0),0,IF(AND($D57="F-SMRC",N30=0),0,IF($D57=Worksheet!$A$68,Worksheet!B323,IF($D57=Worksheet!$A$69,Worksheet!B323,IF($D57=Worksheet!$A$70,Worksheet!B323,ROUND((Request!N30/Worksheet!$C$5*Worksheet!$C$9*(IF(Request!$D57=Worksheet!$A$47,Worksheet!B$47,IF(Request!$D57=Worksheet!$A$48,Worksheet!B$48,IF(Request!$D57=Worksheet!$A$49,Worksheet!B$49,IF(Request!$D57=Worksheet!$A$50,Worksheet!B$50,IF(Request!$D57=Worksheet!$A$51,Worksheet!B$51,IF(Request!$D57=Worksheet!$A$52,Worksheet!B$52,IF(Request!$D57=Worksheet!$A$53,Worksheet!B$53,IF(Request!$D57=Worksheet!$A$54,Worksheet!B$54,IF(Request!$D57=Worksheet!$A$55,Worksheet!B$55))))))))))),0)+ROUND(N30/Worksheet!$C$5*Worksheet!$C$10*(IF(Request!$D57=Worksheet!$A$47,Worksheet!C$47,IF(Request!$D57=Worksheet!$A$48,Worksheet!C$48,IF(Request!$D57=Worksheet!$A$49,Worksheet!C$49,IF(Request!$D57=Worksheet!$A$50,Worksheet!C$50,IF(Request!$D57=Worksheet!$A$51,Worksheet!C$51,IF(Request!$D57=Worksheet!$A$52,Worksheet!C$52,IF(Request!$D57=Worksheet!$A$53,Worksheet!C$53,IF(Request!$D57=Worksheet!$A$54,Worksheet!C$54,IF(Request!$D57=Worksheet!$A$55,Worksheet!C$55)))))))))),0))))))))</f>
        <v>0</v>
      </c>
      <c r="O57" s="182">
        <f>IF(O30=0,0,IF(AND($D57="F-SMRA",O30=0),0,IF(AND($D57="F-SMRB",O30=0),0,IF(AND($D57="F-SMRC",O30=0),0,IF($D57=Worksheet!$A$68,Worksheet!D323,IF($D57=Worksheet!$A$69,Worksheet!D323,IF($D57=Worksheet!$A$70,Worksheet!D323,ROUND((Request!O30/Worksheet!$D$5*Worksheet!$D$9*(IF(Request!$D57=Worksheet!$A$47,Worksheet!D$47,IF(Request!$D57=Worksheet!$A$48,Worksheet!D$48,IF(Request!$D57=Worksheet!$A$49,Worksheet!D$49,IF(Request!$D57=Worksheet!$A$50,Worksheet!D$50,IF(Request!$D57=Worksheet!$A$51,Worksheet!D$51,IF(Request!$D57=Worksheet!$A$52,Worksheet!D$52,IF(Request!$D57=Worksheet!$A$53,Worksheet!D$53,IF(Request!$D57=Worksheet!$A$54,Worksheet!D$54,IF(Request!$D57=Worksheet!$A$55,Worksheet!D$55))))))))))),0)+ROUND(O30/Worksheet!$D$5*Worksheet!$D$10*(IF(Request!$D57=Worksheet!$A$47,Worksheet!E$47,IF(Request!$D57=Worksheet!$A$48,Worksheet!E$48,IF(Request!$D57=Worksheet!$A$49,Worksheet!E$49,IF(Request!$D57=Worksheet!$A$50,Worksheet!E$50,IF(Request!$D57=Worksheet!$A$51,Worksheet!E$51,IF(Request!$D57=Worksheet!$A$52,Worksheet!E$52,IF(Request!$D57=Worksheet!$A$53,Worksheet!E$53,IF(Request!$D57=Worksheet!$A$54,Worksheet!E$54,IF(Request!$D57=Worksheet!$A$55,Worksheet!E$55)))))))))),0))))))))</f>
        <v>0</v>
      </c>
      <c r="P57" s="182">
        <f>IF(P30=0,0,IF(AND($D57="F-SMRA",P30=0),0,IF(AND($D57="F-SMRB",P30=0),0,IF(AND($D57="F-SMRC",P30=0),0,IF($D57=Worksheet!$A$68,Worksheet!F323,IF($D57=Worksheet!$A$69,Worksheet!F323,IF($D57=Worksheet!$A$70,Worksheet!F323,ROUND((Request!P30/Worksheet!$E$5*Worksheet!$E$9*(IF(Request!$D57=Worksheet!$A$47,Worksheet!F$47,IF(Request!$D57=Worksheet!$A$48,Worksheet!F$48,IF(Request!$D57=Worksheet!$A$49,Worksheet!F$49,IF(Request!$D57=Worksheet!$A$50,Worksheet!F$50,IF(Request!$D57=Worksheet!$A$51,Worksheet!F$51,IF(Request!$D57=Worksheet!$A$52,Worksheet!F$52,IF(Request!$D57=Worksheet!$A$53,Worksheet!F$53,IF(Request!$D57=Worksheet!$A$54,Worksheet!F$54,IF(Request!$D57=Worksheet!$A$55,Worksheet!F$55))))))))))),0)+ROUND(P30/Worksheet!$E$5*Worksheet!$E$10*(IF(Request!$D57=Worksheet!$A$47,Worksheet!G$47,IF(Request!$D57=Worksheet!$A$48,Worksheet!G$48,IF(Request!$D57=Worksheet!$A$49,Worksheet!G$49,IF(Request!$D57=Worksheet!$A$50,Worksheet!G$50,IF(Request!$D57=Worksheet!$A$51,Worksheet!G$51,IF(Request!$D57=Worksheet!$A$52,Worksheet!G$52,IF(Request!$D57=Worksheet!$A$53,Worksheet!G$53,IF(Request!$D57=Worksheet!$A$54,Worksheet!G$54,IF(Request!$D57=Worksheet!$A$55,Worksheet!G$55)))))))))),0))))))))</f>
        <v>0</v>
      </c>
      <c r="Q57" s="182">
        <f>IF(Q30=0,0,IF(AND($D57="F-SMRA",Q30=0),0,IF(AND($D57="F-SMRB",Q30=0),0,IF(AND($D57="F-SMRC",Q30=0),0,IF($D57=Worksheet!$A$68,Worksheet!H323,IF($D57=Worksheet!$A$69,Worksheet!H323,IF($D57=Worksheet!$A$70,Worksheet!H323,ROUND((Request!Q30/Worksheet!$F$5*Worksheet!$F$9*(IF(Request!$D57=Worksheet!$A$47,Worksheet!H$47,IF(Request!$D57=Worksheet!$A$48,Worksheet!H$48,IF(Request!$D57=Worksheet!$A$49,Worksheet!H$49,IF(Request!$D57=Worksheet!$A$50,Worksheet!H$50,IF(Request!$D57=Worksheet!$A$51,Worksheet!H$51,IF(Request!$D57=Worksheet!$A$52,Worksheet!H$52,IF(Request!$D57=Worksheet!$A$53,Worksheet!H$53,IF(Request!$D57=Worksheet!$A$54,Worksheet!H$54,IF(Request!$D57=Worksheet!$A$55,Worksheet!H$55))))))))))),0)+ROUND(Q30/Worksheet!$F$5*Worksheet!$F$10*(IF(Request!$D57=Worksheet!$A$47,Worksheet!I$47,IF(Request!$D57=Worksheet!$A$48,Worksheet!I$48,IF(Request!$D57=Worksheet!$A$49,Worksheet!I$49,IF(Request!$D57=Worksheet!$A$50,Worksheet!I$50,IF(Request!$D57=Worksheet!$A$51,Worksheet!I$51,IF(Request!$D57=Worksheet!$A$52,Worksheet!I$52,IF(Request!$D57=Worksheet!$A$53,Worksheet!I$53,IF(Request!$D57=Worksheet!$A$54,Worksheet!I$54,IF(Request!$D57=Worksheet!$A$55,Worksheet!I$55)))))))))),0))))))))</f>
        <v>0</v>
      </c>
      <c r="R57" s="182">
        <f>IF(R30=0,0,IF(AND($D57="F-SMRA",R30=0),0,IF(AND($D57="F-SMRB",R30=0),0,IF(AND($D57="F-SMRC",R30=0),0,IF($D57=Worksheet!$A$68,Worksheet!J323,IF($D57=Worksheet!$A$69,Worksheet!J323,IF($D57=Worksheet!$A$70,Worksheet!J323,ROUND((Request!R30/Worksheet!$G$5*Worksheet!$G$9*(IF(Request!$D57=Worksheet!$A$47,Worksheet!J$47,IF(Request!$D57=Worksheet!$A$48,Worksheet!J$48,IF(Request!$D57=Worksheet!$A$49,Worksheet!J$49,IF(Request!$D57=Worksheet!$A$50,Worksheet!J$50,IF(Request!$D57=Worksheet!$A$51,Worksheet!J$51,IF(Request!$D57=Worksheet!$A$52,Worksheet!J$52,IF(Request!$D57=Worksheet!$A$53,Worksheet!J$53,IF(Request!$D57=Worksheet!$A$54,Worksheet!J$54,IF(Request!$D57=Worksheet!$A$55,Worksheet!J$55))))))))))),0)+ROUND(R30/Worksheet!$G$5*Worksheet!$G$10*(IF(Request!$D57=Worksheet!$A$47,Worksheet!K$47,IF(Request!$D57=Worksheet!$A$48,Worksheet!K$48,IF(Request!$D57=Worksheet!$A$49,Worksheet!K$49,IF(Request!$D57=Worksheet!$A$50,Worksheet!K$50,IF(Request!$D57=Worksheet!$A$51,Worksheet!K$51,IF(Request!$D57=Worksheet!$A$52,Worksheet!K$52,IF(Request!$D57=Worksheet!$A$53,Worksheet!K$53,IF(Request!$D57=Worksheet!$A$54,Worksheet!K$54,IF(Request!$D57=Worksheet!$A$55,Worksheet!K$55)))))))))),0))))))))</f>
        <v>0</v>
      </c>
      <c r="S57" s="144">
        <f t="shared" si="7"/>
        <v>0</v>
      </c>
      <c r="T57" s="192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</row>
    <row r="58" spans="1:41" ht="11.45" hidden="1" x14ac:dyDescent="0.2">
      <c r="A58" s="91">
        <v>24</v>
      </c>
      <c r="B58" s="247">
        <f t="shared" si="8"/>
        <v>0</v>
      </c>
      <c r="C58" s="248"/>
      <c r="D58" s="156" t="s">
        <v>51</v>
      </c>
      <c r="E58" s="174" t="str">
        <f>IF($D58=Worksheet!$A$59,Worksheet!B$59,IF($D58=Worksheet!$A$60,Worksheet!B$60,IF($D58=Worksheet!$A$61,Worksheet!B$61,IF($D58=Worksheet!$A$62,Worksheet!B$62,IF($D58=Worksheet!$A$63,Worksheet!B$63,IF($D58=Worksheet!$A$64,Worksheet!B$64,IF($D58=Worksheet!$A$65,Worksheet!B$65,IF($D58=Worksheet!$A$66,Worksheet!B$66,IF($D58=Worksheet!$A$67,Worksheet!B$67,IF($D58=Worksheet!$A$68,Worksheet!B298,IF($D58=Worksheet!$A$69,Worksheet!B298,IF($D58=Worksheet!$A$70,Worksheet!B298,IF($D58=Worksheet!$A$71,"")))))))))))))</f>
        <v/>
      </c>
      <c r="F58" s="243" t="str">
        <f>IF($D58=Worksheet!$A$59,Worksheet!C$59,IF($D58=Worksheet!$A$60,Worksheet!C$60,IF($D58=Worksheet!$A$61,Worksheet!C$61,IF($D58=Worksheet!$A$62,Worksheet!C$62,IF($D58=Worksheet!$A$63,Worksheet!C$63,IF($D58=Worksheet!$A$64,Worksheet!C$64,IF($D58=Worksheet!$A$65,Worksheet!C$65,IF($D58=Worksheet!$A$66,Worksheet!C$66,IF($D58=Worksheet!$A$67,Worksheet!C$67,IF($D58=Worksheet!$A$68,Worksheet!D298,IF($D58=Worksheet!$A$69,Worksheet!D298,IF($D58=Worksheet!$A$70,Worksheet!D298,IF($D58=Worksheet!$A$71,"")))))))))))))</f>
        <v/>
      </c>
      <c r="G58" s="244"/>
      <c r="H58" s="274" t="str">
        <f>IF($D58=Worksheet!$A$59,Worksheet!D$59,IF($D58=Worksheet!$A$60,Worksheet!D$60,IF($D58=Worksheet!$A$61,Worksheet!D$61,IF($D58=Worksheet!$A$62,Worksheet!D$62,IF($D58=Worksheet!$A$63,Worksheet!D$63,IF($D58=Worksheet!$A$64,Worksheet!D$64,IF($D58=Worksheet!$A$65,Worksheet!D$65,IF($D58=Worksheet!$A$66,Worksheet!D$66,IF($D58=Worksheet!$A$67,Worksheet!D$67,IF($D58=Worksheet!$A$68,Worksheet!F298,IF($D58=Worksheet!$A$69,Worksheet!F298,IF($D58=Worksheet!$A$70,Worksheet!F298,IF($D58=Worksheet!$A$71,"")))))))))))))</f>
        <v/>
      </c>
      <c r="I58" s="275"/>
      <c r="J58" s="274" t="str">
        <f>IF($D58=Worksheet!$A$59,Worksheet!E$59,IF($D58=Worksheet!$A$60,Worksheet!E$60,IF($D58=Worksheet!$A$61,Worksheet!E$61,IF($D58=Worksheet!$A$62,Worksheet!E$62,IF($D58=Worksheet!$A$63,Worksheet!E$63,IF($D58=Worksheet!$A$64,Worksheet!E$64,IF($D58=Worksheet!$A$65,Worksheet!E$65,IF($D58=Worksheet!$A$66,Worksheet!E$66,IF($D58=Worksheet!$A$67,Worksheet!E$67,IF($D58=Worksheet!$A$68,Worksheet!H298,IF($D58=Worksheet!$A$69,Worksheet!H298,IF($D58=Worksheet!$A$70,Worksheet!H298,IF($D58=Worksheet!$A$71,"")))))))))))))</f>
        <v/>
      </c>
      <c r="K58" s="275"/>
      <c r="L58" s="274" t="str">
        <f>IF($D58=Worksheet!$A$59,Worksheet!F$59,IF($D58=Worksheet!$A$60,Worksheet!F$60,IF($D58=Worksheet!$A$61,Worksheet!F$61,IF($D58=Worksheet!$A$62,Worksheet!F$62,IF($D58=Worksheet!$A$63,Worksheet!F$63,IF($D58=Worksheet!$A$64,Worksheet!F$64,IF($D58=Worksheet!$A$65,Worksheet!F$65,IF($D58=Worksheet!$A$66,Worksheet!F$66,IF($D58=Worksheet!$A$67,Worksheet!F$67,IF($D58=Worksheet!$A$68,Worksheet!J298,IF($D58=Worksheet!$A$69,Worksheet!J298,IF($D58=Worksheet!$A$70,Worksheet!J298,IF($D58=Worksheet!$A$71,"")))))))))))))</f>
        <v/>
      </c>
      <c r="M58" s="275"/>
      <c r="N58" s="182">
        <f>IF(N31=0,0,IF(AND($D58="F-SMRA",N31=0),0,IF(AND($D58="F-SMRB",N31=0),0,IF(AND($D58="F-SMRC",N31=0),0,IF($D58=Worksheet!$A$68,Worksheet!B324,IF($D58=Worksheet!$A$69,Worksheet!B324,IF($D58=Worksheet!$A$70,Worksheet!B324,ROUND((Request!N31/Worksheet!$C$5*Worksheet!$C$9*(IF(Request!$D58=Worksheet!$A$47,Worksheet!B$47,IF(Request!$D58=Worksheet!$A$48,Worksheet!B$48,IF(Request!$D58=Worksheet!$A$49,Worksheet!B$49,IF(Request!$D58=Worksheet!$A$50,Worksheet!B$50,IF(Request!$D58=Worksheet!$A$51,Worksheet!B$51,IF(Request!$D58=Worksheet!$A$52,Worksheet!B$52,IF(Request!$D58=Worksheet!$A$53,Worksheet!B$53,IF(Request!$D58=Worksheet!$A$54,Worksheet!B$54,IF(Request!$D58=Worksheet!$A$55,Worksheet!B$55))))))))))),0)+ROUND(N31/Worksheet!$C$5*Worksheet!$C$10*(IF(Request!$D58=Worksheet!$A$47,Worksheet!C$47,IF(Request!$D58=Worksheet!$A$48,Worksheet!C$48,IF(Request!$D58=Worksheet!$A$49,Worksheet!C$49,IF(Request!$D58=Worksheet!$A$50,Worksheet!C$50,IF(Request!$D58=Worksheet!$A$51,Worksheet!C$51,IF(Request!$D58=Worksheet!$A$52,Worksheet!C$52,IF(Request!$D58=Worksheet!$A$53,Worksheet!C$53,IF(Request!$D58=Worksheet!$A$54,Worksheet!C$54,IF(Request!$D58=Worksheet!$A$55,Worksheet!C$55)))))))))),0))))))))</f>
        <v>0</v>
      </c>
      <c r="O58" s="182">
        <f>IF(O31=0,0,IF(AND($D58="F-SMRA",O31=0),0,IF(AND($D58="F-SMRB",O31=0),0,IF(AND($D58="F-SMRC",O31=0),0,IF($D58=Worksheet!$A$68,Worksheet!D324,IF($D58=Worksheet!$A$69,Worksheet!D324,IF($D58=Worksheet!$A$70,Worksheet!D324,ROUND((Request!O31/Worksheet!$D$5*Worksheet!$D$9*(IF(Request!$D58=Worksheet!$A$47,Worksheet!D$47,IF(Request!$D58=Worksheet!$A$48,Worksheet!D$48,IF(Request!$D58=Worksheet!$A$49,Worksheet!D$49,IF(Request!$D58=Worksheet!$A$50,Worksheet!D$50,IF(Request!$D58=Worksheet!$A$51,Worksheet!D$51,IF(Request!$D58=Worksheet!$A$52,Worksheet!D$52,IF(Request!$D58=Worksheet!$A$53,Worksheet!D$53,IF(Request!$D58=Worksheet!$A$54,Worksheet!D$54,IF(Request!$D58=Worksheet!$A$55,Worksheet!D$55))))))))))),0)+ROUND(O31/Worksheet!$D$5*Worksheet!$D$10*(IF(Request!$D58=Worksheet!$A$47,Worksheet!E$47,IF(Request!$D58=Worksheet!$A$48,Worksheet!E$48,IF(Request!$D58=Worksheet!$A$49,Worksheet!E$49,IF(Request!$D58=Worksheet!$A$50,Worksheet!E$50,IF(Request!$D58=Worksheet!$A$51,Worksheet!E$51,IF(Request!$D58=Worksheet!$A$52,Worksheet!E$52,IF(Request!$D58=Worksheet!$A$53,Worksheet!E$53,IF(Request!$D58=Worksheet!$A$54,Worksheet!E$54,IF(Request!$D58=Worksheet!$A$55,Worksheet!E$55)))))))))),0))))))))</f>
        <v>0</v>
      </c>
      <c r="P58" s="182">
        <f>IF(P31=0,0,IF(AND($D58="F-SMRA",P31=0),0,IF(AND($D58="F-SMRB",P31=0),0,IF(AND($D58="F-SMRC",P31=0),0,IF($D58=Worksheet!$A$68,Worksheet!F324,IF($D58=Worksheet!$A$69,Worksheet!F324,IF($D58=Worksheet!$A$70,Worksheet!F324,ROUND((Request!P31/Worksheet!$E$5*Worksheet!$E$9*(IF(Request!$D58=Worksheet!$A$47,Worksheet!F$47,IF(Request!$D58=Worksheet!$A$48,Worksheet!F$48,IF(Request!$D58=Worksheet!$A$49,Worksheet!F$49,IF(Request!$D58=Worksheet!$A$50,Worksheet!F$50,IF(Request!$D58=Worksheet!$A$51,Worksheet!F$51,IF(Request!$D58=Worksheet!$A$52,Worksheet!F$52,IF(Request!$D58=Worksheet!$A$53,Worksheet!F$53,IF(Request!$D58=Worksheet!$A$54,Worksheet!F$54,IF(Request!$D58=Worksheet!$A$55,Worksheet!F$55))))))))))),0)+ROUND(P31/Worksheet!$E$5*Worksheet!$E$10*(IF(Request!$D58=Worksheet!$A$47,Worksheet!G$47,IF(Request!$D58=Worksheet!$A$48,Worksheet!G$48,IF(Request!$D58=Worksheet!$A$49,Worksheet!G$49,IF(Request!$D58=Worksheet!$A$50,Worksheet!G$50,IF(Request!$D58=Worksheet!$A$51,Worksheet!G$51,IF(Request!$D58=Worksheet!$A$52,Worksheet!G$52,IF(Request!$D58=Worksheet!$A$53,Worksheet!G$53,IF(Request!$D58=Worksheet!$A$54,Worksheet!G$54,IF(Request!$D58=Worksheet!$A$55,Worksheet!G$55)))))))))),0))))))))</f>
        <v>0</v>
      </c>
      <c r="Q58" s="182">
        <f>IF(Q31=0,0,IF(AND($D58="F-SMRA",Q31=0),0,IF(AND($D58="F-SMRB",Q31=0),0,IF(AND($D58="F-SMRC",Q31=0),0,IF($D58=Worksheet!$A$68,Worksheet!H324,IF($D58=Worksheet!$A$69,Worksheet!H324,IF($D58=Worksheet!$A$70,Worksheet!H324,ROUND((Request!Q31/Worksheet!$F$5*Worksheet!$F$9*(IF(Request!$D58=Worksheet!$A$47,Worksheet!H$47,IF(Request!$D58=Worksheet!$A$48,Worksheet!H$48,IF(Request!$D58=Worksheet!$A$49,Worksheet!H$49,IF(Request!$D58=Worksheet!$A$50,Worksheet!H$50,IF(Request!$D58=Worksheet!$A$51,Worksheet!H$51,IF(Request!$D58=Worksheet!$A$52,Worksheet!H$52,IF(Request!$D58=Worksheet!$A$53,Worksheet!H$53,IF(Request!$D58=Worksheet!$A$54,Worksheet!H$54,IF(Request!$D58=Worksheet!$A$55,Worksheet!H$55))))))))))),0)+ROUND(Q31/Worksheet!$F$5*Worksheet!$F$10*(IF(Request!$D58=Worksheet!$A$47,Worksheet!I$47,IF(Request!$D58=Worksheet!$A$48,Worksheet!I$48,IF(Request!$D58=Worksheet!$A$49,Worksheet!I$49,IF(Request!$D58=Worksheet!$A$50,Worksheet!I$50,IF(Request!$D58=Worksheet!$A$51,Worksheet!I$51,IF(Request!$D58=Worksheet!$A$52,Worksheet!I$52,IF(Request!$D58=Worksheet!$A$53,Worksheet!I$53,IF(Request!$D58=Worksheet!$A$54,Worksheet!I$54,IF(Request!$D58=Worksheet!$A$55,Worksheet!I$55)))))))))),0))))))))</f>
        <v>0</v>
      </c>
      <c r="R58" s="182">
        <f>IF(R31=0,0,IF(AND($D58="F-SMRA",R31=0),0,IF(AND($D58="F-SMRB",R31=0),0,IF(AND($D58="F-SMRC",R31=0),0,IF($D58=Worksheet!$A$68,Worksheet!J324,IF($D58=Worksheet!$A$69,Worksheet!J324,IF($D58=Worksheet!$A$70,Worksheet!J324,ROUND((Request!R31/Worksheet!$G$5*Worksheet!$G$9*(IF(Request!$D58=Worksheet!$A$47,Worksheet!J$47,IF(Request!$D58=Worksheet!$A$48,Worksheet!J$48,IF(Request!$D58=Worksheet!$A$49,Worksheet!J$49,IF(Request!$D58=Worksheet!$A$50,Worksheet!J$50,IF(Request!$D58=Worksheet!$A$51,Worksheet!J$51,IF(Request!$D58=Worksheet!$A$52,Worksheet!J$52,IF(Request!$D58=Worksheet!$A$53,Worksheet!J$53,IF(Request!$D58=Worksheet!$A$54,Worksheet!J$54,IF(Request!$D58=Worksheet!$A$55,Worksheet!J$55))))))))))),0)+ROUND(R31/Worksheet!$G$5*Worksheet!$G$10*(IF(Request!$D58=Worksheet!$A$47,Worksheet!K$47,IF(Request!$D58=Worksheet!$A$48,Worksheet!K$48,IF(Request!$D58=Worksheet!$A$49,Worksheet!K$49,IF(Request!$D58=Worksheet!$A$50,Worksheet!K$50,IF(Request!$D58=Worksheet!$A$51,Worksheet!K$51,IF(Request!$D58=Worksheet!$A$52,Worksheet!K$52,IF(Request!$D58=Worksheet!$A$53,Worksheet!K$53,IF(Request!$D58=Worksheet!$A$54,Worksheet!K$54,IF(Request!$D58=Worksheet!$A$55,Worksheet!K$55)))))))))),0))))))))</f>
        <v>0</v>
      </c>
      <c r="S58" s="144">
        <f t="shared" si="7"/>
        <v>0</v>
      </c>
      <c r="T58" s="192"/>
      <c r="U58" s="184"/>
      <c r="V58" s="184"/>
      <c r="W58" s="184"/>
      <c r="X58" s="184"/>
      <c r="Y58" s="184"/>
      <c r="Z58" s="184"/>
      <c r="AA58" s="184"/>
      <c r="AB58" s="184"/>
      <c r="AC58" s="184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</row>
    <row r="59" spans="1:41" ht="11.45" x14ac:dyDescent="0.2">
      <c r="A59" s="328" t="s">
        <v>6</v>
      </c>
      <c r="B59" s="329"/>
      <c r="C59" s="329"/>
      <c r="D59" s="329"/>
      <c r="E59" s="329"/>
      <c r="F59" s="329"/>
      <c r="G59" s="329"/>
      <c r="H59" s="329"/>
      <c r="I59" s="329"/>
      <c r="J59" s="329"/>
      <c r="K59" s="329"/>
      <c r="L59" s="329"/>
      <c r="M59" s="330"/>
      <c r="N59" s="157">
        <f>ROUND(SUM(N35:N42),0)</f>
        <v>8942</v>
      </c>
      <c r="O59" s="157">
        <f t="shared" ref="O59:S59" si="9">SUM(O35:O58)</f>
        <v>0</v>
      </c>
      <c r="P59" s="157">
        <f t="shared" si="9"/>
        <v>0</v>
      </c>
      <c r="Q59" s="157">
        <f t="shared" si="9"/>
        <v>0</v>
      </c>
      <c r="R59" s="157">
        <f t="shared" si="9"/>
        <v>0</v>
      </c>
      <c r="S59" s="157">
        <f t="shared" si="9"/>
        <v>8941.7800000000007</v>
      </c>
      <c r="T59" s="193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</row>
    <row r="60" spans="1:41" ht="11.45" x14ac:dyDescent="0.2">
      <c r="A60" s="344" t="s">
        <v>20</v>
      </c>
      <c r="B60" s="345"/>
      <c r="C60" s="345"/>
      <c r="D60" s="345"/>
      <c r="E60" s="345"/>
      <c r="F60" s="345"/>
      <c r="G60" s="345"/>
      <c r="H60" s="345"/>
      <c r="I60" s="345"/>
      <c r="J60" s="345"/>
      <c r="K60" s="345"/>
      <c r="L60" s="345"/>
      <c r="M60" s="346"/>
      <c r="N60" s="158">
        <f t="shared" ref="N60:S60" si="10">N32+N59</f>
        <v>35922</v>
      </c>
      <c r="O60" s="158">
        <f t="shared" si="10"/>
        <v>0</v>
      </c>
      <c r="P60" s="158">
        <f t="shared" si="10"/>
        <v>0</v>
      </c>
      <c r="Q60" s="158">
        <f t="shared" si="10"/>
        <v>0</v>
      </c>
      <c r="R60" s="158">
        <f t="shared" si="10"/>
        <v>0</v>
      </c>
      <c r="S60" s="158">
        <f t="shared" si="10"/>
        <v>35921.78</v>
      </c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</row>
    <row r="61" spans="1:41" ht="11.45" hidden="1" x14ac:dyDescent="0.2"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</row>
    <row r="62" spans="1:41" ht="11.45" hidden="1" x14ac:dyDescent="0.2">
      <c r="A62" s="311" t="s">
        <v>145</v>
      </c>
      <c r="B62" s="312"/>
      <c r="C62" s="312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102"/>
      <c r="O62" s="102"/>
      <c r="P62" s="102"/>
      <c r="Q62" s="102"/>
      <c r="R62" s="102"/>
      <c r="S62" s="102" t="str">
        <f>S34</f>
        <v>Total</v>
      </c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</row>
    <row r="63" spans="1:41" ht="11.45" hidden="1" x14ac:dyDescent="0.2">
      <c r="A63" s="178"/>
      <c r="B63" s="159" t="s">
        <v>199</v>
      </c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60"/>
      <c r="O63" s="160"/>
      <c r="P63" s="160"/>
      <c r="Q63" s="160"/>
      <c r="R63" s="160"/>
      <c r="S63" s="86">
        <f>SUM(N63:R63)</f>
        <v>0</v>
      </c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</row>
    <row r="64" spans="1:41" ht="11.45" hidden="1" x14ac:dyDescent="0.2">
      <c r="A64" s="178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60"/>
      <c r="O64" s="160"/>
      <c r="P64" s="160"/>
      <c r="Q64" s="160"/>
      <c r="R64" s="160"/>
      <c r="S64" s="86">
        <f t="shared" ref="S64:S71" si="11">SUM(N64:R64)</f>
        <v>0</v>
      </c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</row>
    <row r="65" spans="1:41" ht="11.45" hidden="1" x14ac:dyDescent="0.2">
      <c r="A65" s="178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60"/>
      <c r="O65" s="160"/>
      <c r="P65" s="160"/>
      <c r="Q65" s="160"/>
      <c r="R65" s="160"/>
      <c r="S65" s="86">
        <f t="shared" si="11"/>
        <v>0</v>
      </c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</row>
    <row r="66" spans="1:41" ht="11.45" hidden="1" x14ac:dyDescent="0.2">
      <c r="A66" s="178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60"/>
      <c r="O66" s="160"/>
      <c r="P66" s="160"/>
      <c r="Q66" s="160"/>
      <c r="R66" s="160"/>
      <c r="S66" s="86">
        <f t="shared" si="11"/>
        <v>0</v>
      </c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4"/>
    </row>
    <row r="67" spans="1:41" ht="11.45" hidden="1" x14ac:dyDescent="0.2">
      <c r="A67" s="178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60"/>
      <c r="O67" s="160"/>
      <c r="P67" s="160"/>
      <c r="Q67" s="160"/>
      <c r="R67" s="160"/>
      <c r="S67" s="86">
        <f t="shared" si="11"/>
        <v>0</v>
      </c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</row>
    <row r="68" spans="1:41" ht="11.45" hidden="1" x14ac:dyDescent="0.2">
      <c r="A68" s="178"/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60"/>
      <c r="O68" s="160"/>
      <c r="P68" s="160"/>
      <c r="Q68" s="160"/>
      <c r="R68" s="160"/>
      <c r="S68" s="86">
        <f t="shared" si="11"/>
        <v>0</v>
      </c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</row>
    <row r="69" spans="1:41" ht="11.45" hidden="1" x14ac:dyDescent="0.2">
      <c r="A69" s="178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60"/>
      <c r="O69" s="160"/>
      <c r="P69" s="160"/>
      <c r="Q69" s="160"/>
      <c r="R69" s="160"/>
      <c r="S69" s="86">
        <f t="shared" si="11"/>
        <v>0</v>
      </c>
      <c r="T69" s="184"/>
      <c r="U69" s="184"/>
      <c r="V69" s="184"/>
      <c r="W69" s="184"/>
      <c r="X69" s="184"/>
      <c r="Y69" s="184"/>
      <c r="Z69" s="184"/>
      <c r="AA69" s="184"/>
      <c r="AB69" s="184"/>
      <c r="AC69" s="184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</row>
    <row r="70" spans="1:41" ht="11.45" hidden="1" x14ac:dyDescent="0.2">
      <c r="A70" s="178"/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60"/>
      <c r="O70" s="160"/>
      <c r="P70" s="160"/>
      <c r="Q70" s="160"/>
      <c r="R70" s="160"/>
      <c r="S70" s="86">
        <f t="shared" si="11"/>
        <v>0</v>
      </c>
      <c r="T70" s="184"/>
      <c r="U70" s="184"/>
      <c r="V70" s="184"/>
      <c r="W70" s="184"/>
      <c r="X70" s="184"/>
      <c r="Y70" s="184"/>
      <c r="Z70" s="184"/>
      <c r="AA70" s="184"/>
      <c r="AB70" s="184"/>
      <c r="AC70" s="184"/>
      <c r="AD70" s="184"/>
      <c r="AE70" s="184"/>
      <c r="AF70" s="184"/>
      <c r="AG70" s="184"/>
      <c r="AH70" s="184"/>
      <c r="AI70" s="184"/>
      <c r="AJ70" s="184"/>
      <c r="AK70" s="184"/>
      <c r="AL70" s="184"/>
      <c r="AM70" s="184"/>
      <c r="AN70" s="184"/>
      <c r="AO70" s="184"/>
    </row>
    <row r="71" spans="1:41" ht="11.45" hidden="1" x14ac:dyDescent="0.2">
      <c r="A71" s="178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60"/>
      <c r="O71" s="160"/>
      <c r="P71" s="160"/>
      <c r="Q71" s="160"/>
      <c r="R71" s="160"/>
      <c r="S71" s="86">
        <f t="shared" si="11"/>
        <v>0</v>
      </c>
      <c r="T71" s="184"/>
      <c r="U71" s="184"/>
      <c r="V71" s="184"/>
      <c r="W71" s="184"/>
      <c r="X71" s="184"/>
      <c r="Y71" s="184"/>
      <c r="Z71" s="184"/>
      <c r="AA71" s="184"/>
      <c r="AB71" s="184"/>
      <c r="AC71" s="184"/>
      <c r="AD71" s="184"/>
      <c r="AE71" s="184"/>
      <c r="AF71" s="184"/>
      <c r="AG71" s="184"/>
      <c r="AH71" s="184"/>
      <c r="AI71" s="184"/>
      <c r="AJ71" s="184"/>
      <c r="AK71" s="184"/>
      <c r="AL71" s="184"/>
      <c r="AM71" s="184"/>
      <c r="AN71" s="184"/>
      <c r="AO71" s="184"/>
    </row>
    <row r="72" spans="1:41" ht="11.45" hidden="1" x14ac:dyDescent="0.2">
      <c r="A72" s="318" t="s">
        <v>146</v>
      </c>
      <c r="B72" s="319"/>
      <c r="C72" s="319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7">
        <f>SUM(N63:N71)</f>
        <v>0</v>
      </c>
      <c r="O72" s="127">
        <f t="shared" ref="O72:R72" si="12">SUM(O63:O71)</f>
        <v>0</v>
      </c>
      <c r="P72" s="127">
        <f t="shared" si="12"/>
        <v>0</v>
      </c>
      <c r="Q72" s="127">
        <f t="shared" si="12"/>
        <v>0</v>
      </c>
      <c r="R72" s="127">
        <f t="shared" si="12"/>
        <v>0</v>
      </c>
      <c r="S72" s="127">
        <f>SUM(S63:S71)</f>
        <v>0</v>
      </c>
      <c r="T72" s="194"/>
      <c r="U72" s="184"/>
      <c r="V72" s="184"/>
      <c r="W72" s="184"/>
      <c r="X72" s="184"/>
      <c r="Y72" s="184"/>
      <c r="Z72" s="184"/>
      <c r="AA72" s="184"/>
      <c r="AB72" s="184"/>
      <c r="AC72" s="184"/>
      <c r="AD72" s="184"/>
      <c r="AE72" s="184"/>
      <c r="AF72" s="184"/>
      <c r="AG72" s="184"/>
      <c r="AH72" s="184"/>
      <c r="AI72" s="184"/>
      <c r="AJ72" s="184"/>
      <c r="AK72" s="184"/>
      <c r="AL72" s="184"/>
      <c r="AM72" s="184"/>
      <c r="AN72" s="184"/>
      <c r="AO72" s="184"/>
    </row>
    <row r="73" spans="1:41" ht="11.45" hidden="1" x14ac:dyDescent="0.2">
      <c r="A73" s="92"/>
      <c r="B73" s="61"/>
      <c r="C73" s="61"/>
      <c r="T73" s="184"/>
      <c r="U73" s="184"/>
      <c r="V73" s="184"/>
      <c r="W73" s="184"/>
      <c r="X73" s="184"/>
      <c r="Y73" s="184"/>
      <c r="Z73" s="184"/>
      <c r="AA73" s="184"/>
      <c r="AB73" s="184"/>
      <c r="AC73" s="184"/>
      <c r="AD73" s="184"/>
      <c r="AE73" s="184"/>
      <c r="AF73" s="184"/>
      <c r="AG73" s="184"/>
      <c r="AH73" s="184"/>
      <c r="AI73" s="184"/>
      <c r="AJ73" s="184"/>
      <c r="AK73" s="184"/>
      <c r="AL73" s="184"/>
      <c r="AM73" s="184"/>
      <c r="AN73" s="184"/>
      <c r="AO73" s="184"/>
    </row>
    <row r="74" spans="1:41" ht="11.45" hidden="1" x14ac:dyDescent="0.2">
      <c r="A74" s="311" t="s">
        <v>64</v>
      </c>
      <c r="B74" s="312"/>
      <c r="C74" s="312"/>
      <c r="D74" s="54"/>
      <c r="E74" s="54"/>
      <c r="F74" s="54"/>
      <c r="G74" s="54"/>
      <c r="H74" s="54"/>
      <c r="I74" s="54"/>
      <c r="J74" s="54"/>
      <c r="K74" s="323" t="s">
        <v>135</v>
      </c>
      <c r="L74" s="323"/>
      <c r="M74" s="324"/>
      <c r="N74" s="102"/>
      <c r="O74" s="102"/>
      <c r="P74" s="102"/>
      <c r="Q74" s="102"/>
      <c r="R74" s="102"/>
      <c r="S74" s="102" t="str">
        <f t="shared" ref="S74" si="13">S62</f>
        <v>Total</v>
      </c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  <c r="AG74" s="184"/>
      <c r="AH74" s="184"/>
      <c r="AI74" s="184"/>
      <c r="AJ74" s="184"/>
      <c r="AK74" s="184"/>
      <c r="AL74" s="184"/>
      <c r="AM74" s="184"/>
      <c r="AN74" s="184"/>
      <c r="AO74" s="184"/>
    </row>
    <row r="75" spans="1:41" ht="11.45" hidden="1" x14ac:dyDescent="0.2">
      <c r="A75" s="178"/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47" t="s">
        <v>177</v>
      </c>
      <c r="N75" s="160">
        <v>0</v>
      </c>
      <c r="O75" s="160">
        <v>0</v>
      </c>
      <c r="P75" s="160">
        <v>0</v>
      </c>
      <c r="Q75" s="160">
        <v>0</v>
      </c>
      <c r="R75" s="160">
        <v>0</v>
      </c>
      <c r="S75" s="85">
        <f>SUM(N75:R75)</f>
        <v>0</v>
      </c>
      <c r="T75" s="184"/>
      <c r="U75" s="184"/>
      <c r="V75" s="184"/>
      <c r="W75" s="184"/>
      <c r="X75" s="184"/>
      <c r="Y75" s="184"/>
      <c r="Z75" s="184"/>
      <c r="AA75" s="184"/>
      <c r="AB75" s="184"/>
      <c r="AC75" s="184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  <c r="AO75" s="184"/>
    </row>
    <row r="76" spans="1:41" ht="11.45" hidden="1" x14ac:dyDescent="0.2">
      <c r="A76" s="178"/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47" t="s">
        <v>177</v>
      </c>
      <c r="N76" s="160"/>
      <c r="O76" s="160"/>
      <c r="P76" s="160"/>
      <c r="Q76" s="160"/>
      <c r="R76" s="160"/>
      <c r="S76" s="85">
        <f t="shared" ref="S76:S84" si="14">SUM(N76:R76)</f>
        <v>0</v>
      </c>
      <c r="T76" s="184"/>
      <c r="U76" s="184"/>
      <c r="V76" s="184"/>
      <c r="W76" s="184"/>
      <c r="X76" s="184"/>
      <c r="Y76" s="184"/>
      <c r="Z76" s="184"/>
      <c r="AA76" s="184"/>
      <c r="AB76" s="184"/>
      <c r="AC76" s="184"/>
      <c r="AD76" s="184"/>
      <c r="AE76" s="184"/>
      <c r="AF76" s="184"/>
      <c r="AG76" s="184"/>
      <c r="AH76" s="184"/>
      <c r="AI76" s="184"/>
      <c r="AJ76" s="184"/>
      <c r="AK76" s="184"/>
      <c r="AL76" s="184"/>
      <c r="AM76" s="184"/>
      <c r="AN76" s="184"/>
      <c r="AO76" s="184"/>
    </row>
    <row r="77" spans="1:41" ht="11.45" hidden="1" x14ac:dyDescent="0.2">
      <c r="A77" s="178" t="s">
        <v>174</v>
      </c>
      <c r="B77" s="159"/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47" t="s">
        <v>177</v>
      </c>
      <c r="N77" s="160"/>
      <c r="O77" s="160"/>
      <c r="P77" s="160"/>
      <c r="Q77" s="160"/>
      <c r="R77" s="160"/>
      <c r="S77" s="85">
        <f t="shared" si="14"/>
        <v>0</v>
      </c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</row>
    <row r="78" spans="1:41" ht="11.45" hidden="1" x14ac:dyDescent="0.2">
      <c r="A78" s="178"/>
      <c r="B78" s="159"/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47" t="s">
        <v>177</v>
      </c>
      <c r="N78" s="160"/>
      <c r="O78" s="160"/>
      <c r="P78" s="160"/>
      <c r="Q78" s="160"/>
      <c r="R78" s="160"/>
      <c r="S78" s="85">
        <f t="shared" si="14"/>
        <v>0</v>
      </c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</row>
    <row r="79" spans="1:41" ht="11.45" hidden="1" x14ac:dyDescent="0.2">
      <c r="A79" s="178"/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47" t="s">
        <v>177</v>
      </c>
      <c r="N79" s="160"/>
      <c r="O79" s="160"/>
      <c r="P79" s="160"/>
      <c r="Q79" s="160"/>
      <c r="R79" s="160"/>
      <c r="S79" s="85">
        <f t="shared" si="14"/>
        <v>0</v>
      </c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</row>
    <row r="80" spans="1:41" ht="11.45" hidden="1" x14ac:dyDescent="0.2">
      <c r="A80" s="178"/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47" t="s">
        <v>177</v>
      </c>
      <c r="N80" s="160"/>
      <c r="O80" s="160"/>
      <c r="P80" s="160"/>
      <c r="Q80" s="160"/>
      <c r="R80" s="160"/>
      <c r="S80" s="85">
        <f t="shared" si="14"/>
        <v>0</v>
      </c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</row>
    <row r="81" spans="1:41" ht="11.45" hidden="1" x14ac:dyDescent="0.2">
      <c r="A81" s="178"/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47" t="s">
        <v>177</v>
      </c>
      <c r="N81" s="160"/>
      <c r="O81" s="160"/>
      <c r="P81" s="160"/>
      <c r="Q81" s="160"/>
      <c r="R81" s="160"/>
      <c r="S81" s="85">
        <f t="shared" si="14"/>
        <v>0</v>
      </c>
      <c r="T81" s="184"/>
      <c r="U81" s="184"/>
      <c r="V81" s="184"/>
      <c r="W81" s="184"/>
      <c r="X81" s="184"/>
      <c r="Y81" s="184"/>
      <c r="Z81" s="184"/>
      <c r="AA81" s="184"/>
      <c r="AB81" s="184"/>
      <c r="AC81" s="184"/>
      <c r="AD81" s="184"/>
      <c r="AE81" s="184"/>
      <c r="AF81" s="184"/>
      <c r="AG81" s="184"/>
      <c r="AH81" s="184"/>
      <c r="AI81" s="184"/>
      <c r="AJ81" s="184"/>
      <c r="AK81" s="184"/>
      <c r="AL81" s="184"/>
      <c r="AM81" s="184"/>
      <c r="AN81" s="184"/>
      <c r="AO81" s="184"/>
    </row>
    <row r="82" spans="1:41" ht="11.45" hidden="1" x14ac:dyDescent="0.2">
      <c r="A82" s="178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47" t="s">
        <v>177</v>
      </c>
      <c r="N82" s="160"/>
      <c r="O82" s="160"/>
      <c r="P82" s="160"/>
      <c r="Q82" s="160"/>
      <c r="R82" s="160"/>
      <c r="S82" s="85">
        <f t="shared" si="14"/>
        <v>0</v>
      </c>
      <c r="T82" s="184"/>
      <c r="U82" s="184"/>
      <c r="V82" s="184"/>
      <c r="W82" s="184"/>
      <c r="X82" s="184"/>
      <c r="Y82" s="184"/>
      <c r="Z82" s="184"/>
      <c r="AA82" s="184"/>
      <c r="AB82" s="184"/>
      <c r="AC82" s="184"/>
      <c r="AD82" s="184"/>
      <c r="AE82" s="184"/>
      <c r="AF82" s="184"/>
      <c r="AG82" s="184"/>
      <c r="AH82" s="184"/>
      <c r="AI82" s="184"/>
      <c r="AJ82" s="184"/>
      <c r="AK82" s="184"/>
      <c r="AL82" s="184"/>
      <c r="AM82" s="184"/>
      <c r="AN82" s="184"/>
      <c r="AO82" s="184"/>
    </row>
    <row r="83" spans="1:41" ht="11.45" hidden="1" x14ac:dyDescent="0.2">
      <c r="A83" s="262" t="s">
        <v>175</v>
      </c>
      <c r="B83" s="263"/>
      <c r="C83" s="263"/>
      <c r="D83" s="263"/>
      <c r="E83" s="263"/>
      <c r="F83" s="263"/>
      <c r="G83" s="263"/>
      <c r="H83" s="263"/>
      <c r="I83" s="263"/>
      <c r="J83" s="263"/>
      <c r="K83" s="263"/>
      <c r="L83" s="263"/>
      <c r="M83" s="264"/>
      <c r="N83" s="128">
        <f>SUMIF($M$75:$M$82,"No",N75:N82)</f>
        <v>0</v>
      </c>
      <c r="O83" s="128">
        <f t="shared" ref="O83:R83" si="15">SUMIF($M$75:$M$82,"No",O75:O82)</f>
        <v>0</v>
      </c>
      <c r="P83" s="128">
        <f t="shared" si="15"/>
        <v>0</v>
      </c>
      <c r="Q83" s="128">
        <f t="shared" si="15"/>
        <v>0</v>
      </c>
      <c r="R83" s="128">
        <f t="shared" si="15"/>
        <v>0</v>
      </c>
      <c r="S83" s="128">
        <f t="shared" si="14"/>
        <v>0</v>
      </c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84"/>
      <c r="AL83" s="184"/>
      <c r="AM83" s="184"/>
      <c r="AN83" s="184"/>
      <c r="AO83" s="184"/>
    </row>
    <row r="84" spans="1:41" ht="11.45" hidden="1" x14ac:dyDescent="0.2">
      <c r="A84" s="265" t="s">
        <v>176</v>
      </c>
      <c r="B84" s="266"/>
      <c r="C84" s="266"/>
      <c r="D84" s="266"/>
      <c r="E84" s="266"/>
      <c r="F84" s="266"/>
      <c r="G84" s="266"/>
      <c r="H84" s="266"/>
      <c r="I84" s="266"/>
      <c r="J84" s="266"/>
      <c r="K84" s="266"/>
      <c r="L84" s="266"/>
      <c r="M84" s="267"/>
      <c r="N84" s="209">
        <f>SUMIF($M$75:$M$82,"Yes",N75:N82)</f>
        <v>0</v>
      </c>
      <c r="O84" s="209">
        <f t="shared" ref="O84:R84" si="16">SUMIF($M$75:$M$82,"Yes",O75:O82)</f>
        <v>0</v>
      </c>
      <c r="P84" s="209">
        <f t="shared" si="16"/>
        <v>0</v>
      </c>
      <c r="Q84" s="209">
        <f t="shared" si="16"/>
        <v>0</v>
      </c>
      <c r="R84" s="209">
        <f t="shared" si="16"/>
        <v>0</v>
      </c>
      <c r="S84" s="209">
        <f t="shared" si="14"/>
        <v>0</v>
      </c>
      <c r="T84" s="184"/>
      <c r="U84" s="184"/>
      <c r="V84" s="184"/>
      <c r="W84" s="184"/>
      <c r="X84" s="184"/>
      <c r="Y84" s="184"/>
      <c r="Z84" s="184"/>
      <c r="AA84" s="184"/>
      <c r="AB84" s="184"/>
      <c r="AC84" s="184"/>
      <c r="AD84" s="184"/>
      <c r="AE84" s="184"/>
      <c r="AF84" s="184"/>
      <c r="AG84" s="184"/>
      <c r="AH84" s="184"/>
      <c r="AI84" s="184"/>
      <c r="AJ84" s="184"/>
      <c r="AK84" s="184"/>
      <c r="AL84" s="184"/>
      <c r="AM84" s="184"/>
      <c r="AN84" s="184"/>
      <c r="AO84" s="184"/>
    </row>
    <row r="85" spans="1:41" ht="11.45" hidden="1" x14ac:dyDescent="0.2">
      <c r="A85" s="311" t="s">
        <v>65</v>
      </c>
      <c r="B85" s="312"/>
      <c r="C85" s="312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88">
        <f>SUM(N75:N82)</f>
        <v>0</v>
      </c>
      <c r="O85" s="88">
        <f t="shared" ref="O85:R85" si="17">SUM(O75:O82)</f>
        <v>0</v>
      </c>
      <c r="P85" s="88">
        <f t="shared" si="17"/>
        <v>0</v>
      </c>
      <c r="Q85" s="88">
        <f t="shared" si="17"/>
        <v>0</v>
      </c>
      <c r="R85" s="88">
        <f t="shared" si="17"/>
        <v>0</v>
      </c>
      <c r="S85" s="88">
        <f>SUM(S75:S82)</f>
        <v>0</v>
      </c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  <c r="AF85" s="184"/>
      <c r="AG85" s="184"/>
      <c r="AH85" s="184"/>
      <c r="AI85" s="184"/>
      <c r="AJ85" s="184"/>
      <c r="AK85" s="184"/>
      <c r="AL85" s="184"/>
      <c r="AM85" s="184"/>
      <c r="AN85" s="184"/>
      <c r="AO85" s="184"/>
    </row>
    <row r="86" spans="1:41" ht="11.45" x14ac:dyDescent="0.2">
      <c r="T86" s="184"/>
      <c r="U86" s="184"/>
      <c r="V86" s="184"/>
      <c r="W86" s="184"/>
      <c r="X86" s="184"/>
      <c r="Y86" s="184"/>
      <c r="Z86" s="184"/>
      <c r="AA86" s="184"/>
      <c r="AB86" s="184"/>
      <c r="AC86" s="184"/>
      <c r="AD86" s="184"/>
      <c r="AE86" s="184"/>
      <c r="AF86" s="184"/>
      <c r="AG86" s="184"/>
      <c r="AH86" s="184"/>
      <c r="AI86" s="184"/>
      <c r="AJ86" s="184"/>
      <c r="AK86" s="184"/>
      <c r="AL86" s="184"/>
      <c r="AM86" s="184"/>
      <c r="AN86" s="184"/>
      <c r="AO86" s="184"/>
    </row>
    <row r="87" spans="1:41" ht="11.45" x14ac:dyDescent="0.2">
      <c r="A87" s="311" t="s">
        <v>66</v>
      </c>
      <c r="B87" s="312"/>
      <c r="C87" s="312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102"/>
      <c r="O87" s="102"/>
      <c r="P87" s="102"/>
      <c r="Q87" s="102"/>
      <c r="R87" s="102"/>
      <c r="S87" s="102" t="str">
        <f t="shared" ref="S87" si="18">S74</f>
        <v>Total</v>
      </c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  <c r="AH87" s="184"/>
      <c r="AI87" s="184"/>
      <c r="AJ87" s="184"/>
      <c r="AK87" s="184"/>
      <c r="AL87" s="184"/>
      <c r="AM87" s="184"/>
      <c r="AN87" s="184"/>
      <c r="AO87" s="184"/>
    </row>
    <row r="88" spans="1:41" ht="12" customHeight="1" x14ac:dyDescent="0.2">
      <c r="A88" s="178"/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61">
        <v>0</v>
      </c>
      <c r="O88" s="161"/>
      <c r="P88" s="161"/>
      <c r="Q88" s="161"/>
      <c r="R88" s="161"/>
      <c r="S88" s="85">
        <f>SUM(N88:R88)</f>
        <v>0</v>
      </c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  <c r="AH88" s="184"/>
      <c r="AI88" s="184"/>
      <c r="AJ88" s="184"/>
      <c r="AK88" s="184"/>
      <c r="AL88" s="184"/>
      <c r="AM88" s="184"/>
      <c r="AN88" s="184"/>
      <c r="AO88" s="184"/>
    </row>
    <row r="89" spans="1:41" ht="11.45" x14ac:dyDescent="0.2">
      <c r="A89" s="178"/>
      <c r="B89" s="159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61">
        <v>0</v>
      </c>
      <c r="O89" s="161"/>
      <c r="P89" s="161"/>
      <c r="Q89" s="161"/>
      <c r="R89" s="161"/>
      <c r="S89" s="85">
        <f t="shared" ref="S89:S116" si="19">SUM(N89:R89)</f>
        <v>0</v>
      </c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  <c r="AH89" s="184"/>
      <c r="AI89" s="184"/>
      <c r="AJ89" s="184"/>
      <c r="AK89" s="184"/>
      <c r="AL89" s="184"/>
      <c r="AM89" s="184"/>
      <c r="AN89" s="184"/>
      <c r="AO89" s="184"/>
    </row>
    <row r="90" spans="1:41" ht="11.45" x14ac:dyDescent="0.2">
      <c r="A90" s="178"/>
      <c r="B90" s="159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61">
        <v>0</v>
      </c>
      <c r="O90" s="161"/>
      <c r="P90" s="161"/>
      <c r="Q90" s="161"/>
      <c r="R90" s="161"/>
      <c r="S90" s="85">
        <f t="shared" si="19"/>
        <v>0</v>
      </c>
      <c r="T90" s="184"/>
      <c r="U90" s="184"/>
      <c r="V90" s="184"/>
      <c r="W90" s="184"/>
      <c r="X90" s="184"/>
      <c r="Y90" s="184"/>
      <c r="Z90" s="184"/>
      <c r="AA90" s="184"/>
      <c r="AB90" s="184"/>
      <c r="AC90" s="184"/>
      <c r="AD90" s="184"/>
      <c r="AE90" s="184"/>
      <c r="AF90" s="184"/>
      <c r="AG90" s="184"/>
      <c r="AH90" s="184"/>
      <c r="AI90" s="184"/>
      <c r="AJ90" s="184"/>
      <c r="AK90" s="184"/>
      <c r="AL90" s="184"/>
      <c r="AM90" s="184"/>
      <c r="AN90" s="184"/>
      <c r="AO90" s="184"/>
    </row>
    <row r="91" spans="1:41" ht="11.45" hidden="1" x14ac:dyDescent="0.2">
      <c r="A91" s="178"/>
      <c r="B91" s="159"/>
      <c r="C91" s="159"/>
      <c r="D91" s="159"/>
      <c r="E91" s="159"/>
      <c r="F91" s="159"/>
      <c r="G91" s="159"/>
      <c r="H91" s="159"/>
      <c r="I91" s="159"/>
      <c r="J91" s="159"/>
      <c r="K91" s="159"/>
      <c r="L91" s="159"/>
      <c r="M91" s="159"/>
      <c r="N91" s="161"/>
      <c r="O91" s="161"/>
      <c r="P91" s="161"/>
      <c r="Q91" s="161"/>
      <c r="R91" s="161"/>
      <c r="S91" s="85">
        <f t="shared" si="19"/>
        <v>0</v>
      </c>
      <c r="T91" s="184"/>
      <c r="U91" s="184"/>
      <c r="V91" s="184"/>
      <c r="W91" s="184"/>
      <c r="X91" s="184"/>
      <c r="Y91" s="184"/>
      <c r="Z91" s="184"/>
      <c r="AA91" s="184"/>
      <c r="AB91" s="184"/>
      <c r="AC91" s="184"/>
      <c r="AD91" s="184"/>
      <c r="AE91" s="184"/>
      <c r="AF91" s="184"/>
      <c r="AG91" s="184"/>
      <c r="AH91" s="184"/>
      <c r="AI91" s="184"/>
      <c r="AJ91" s="184"/>
      <c r="AK91" s="184"/>
      <c r="AL91" s="184"/>
      <c r="AM91" s="184"/>
      <c r="AN91" s="184"/>
      <c r="AO91" s="184"/>
    </row>
    <row r="92" spans="1:41" ht="11.45" hidden="1" x14ac:dyDescent="0.2">
      <c r="A92" s="178"/>
      <c r="B92" s="159"/>
      <c r="C92" s="159"/>
      <c r="D92" s="159"/>
      <c r="E92" s="159"/>
      <c r="F92" s="159"/>
      <c r="G92" s="159"/>
      <c r="H92" s="159"/>
      <c r="I92" s="159"/>
      <c r="J92" s="159"/>
      <c r="K92" s="159"/>
      <c r="L92" s="159"/>
      <c r="M92" s="159"/>
      <c r="N92" s="161"/>
      <c r="O92" s="161"/>
      <c r="P92" s="161"/>
      <c r="Q92" s="161"/>
      <c r="R92" s="161"/>
      <c r="S92" s="85">
        <f t="shared" si="19"/>
        <v>0</v>
      </c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4"/>
      <c r="AH92" s="184"/>
      <c r="AI92" s="184"/>
      <c r="AJ92" s="184"/>
      <c r="AK92" s="184"/>
      <c r="AL92" s="184"/>
      <c r="AM92" s="184"/>
      <c r="AN92" s="184"/>
      <c r="AO92" s="184"/>
    </row>
    <row r="93" spans="1:41" ht="11.45" hidden="1" x14ac:dyDescent="0.2">
      <c r="A93" s="178"/>
      <c r="B93" s="159"/>
      <c r="C93" s="159"/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161"/>
      <c r="O93" s="161"/>
      <c r="P93" s="161"/>
      <c r="Q93" s="161"/>
      <c r="R93" s="161"/>
      <c r="S93" s="85">
        <f t="shared" si="19"/>
        <v>0</v>
      </c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  <c r="AH93" s="184"/>
      <c r="AI93" s="184"/>
      <c r="AJ93" s="184"/>
      <c r="AK93" s="184"/>
      <c r="AL93" s="184"/>
      <c r="AM93" s="184"/>
      <c r="AN93" s="184"/>
      <c r="AO93" s="184"/>
    </row>
    <row r="94" spans="1:41" ht="11.45" hidden="1" x14ac:dyDescent="0.2">
      <c r="A94" s="178"/>
      <c r="B94" s="159"/>
      <c r="C94" s="159"/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61"/>
      <c r="O94" s="161"/>
      <c r="P94" s="161"/>
      <c r="Q94" s="161"/>
      <c r="R94" s="161"/>
      <c r="S94" s="85">
        <f t="shared" si="19"/>
        <v>0</v>
      </c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  <c r="AH94" s="184"/>
      <c r="AI94" s="184"/>
      <c r="AJ94" s="184"/>
      <c r="AK94" s="184"/>
      <c r="AL94" s="184"/>
      <c r="AM94" s="184"/>
      <c r="AN94" s="184"/>
      <c r="AO94" s="184"/>
    </row>
    <row r="95" spans="1:41" ht="11.45" hidden="1" x14ac:dyDescent="0.2">
      <c r="A95" s="178"/>
      <c r="B95" s="159"/>
      <c r="C95" s="159"/>
      <c r="D95" s="159"/>
      <c r="E95" s="159"/>
      <c r="F95" s="159"/>
      <c r="G95" s="159"/>
      <c r="H95" s="159"/>
      <c r="I95" s="159"/>
      <c r="J95" s="159"/>
      <c r="K95" s="159"/>
      <c r="L95" s="159"/>
      <c r="M95" s="159"/>
      <c r="N95" s="161"/>
      <c r="O95" s="161"/>
      <c r="P95" s="161"/>
      <c r="Q95" s="161"/>
      <c r="R95" s="161"/>
      <c r="S95" s="85">
        <f t="shared" si="19"/>
        <v>0</v>
      </c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  <c r="AH95" s="184"/>
      <c r="AI95" s="184"/>
      <c r="AJ95" s="184"/>
      <c r="AK95" s="184"/>
      <c r="AL95" s="184"/>
      <c r="AM95" s="184"/>
      <c r="AN95" s="184"/>
      <c r="AO95" s="184"/>
    </row>
    <row r="96" spans="1:41" ht="11.45" hidden="1" x14ac:dyDescent="0.2">
      <c r="A96" s="178"/>
      <c r="B96" s="159"/>
      <c r="C96" s="159"/>
      <c r="D96" s="159"/>
      <c r="E96" s="159"/>
      <c r="F96" s="159"/>
      <c r="G96" s="159"/>
      <c r="H96" s="159"/>
      <c r="I96" s="159"/>
      <c r="J96" s="159"/>
      <c r="K96" s="159"/>
      <c r="L96" s="159"/>
      <c r="M96" s="159"/>
      <c r="N96" s="161"/>
      <c r="O96" s="161"/>
      <c r="P96" s="161"/>
      <c r="Q96" s="161"/>
      <c r="R96" s="161"/>
      <c r="S96" s="85">
        <f t="shared" si="19"/>
        <v>0</v>
      </c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  <c r="AH96" s="184"/>
      <c r="AI96" s="184"/>
      <c r="AJ96" s="184"/>
      <c r="AK96" s="184"/>
      <c r="AL96" s="184"/>
      <c r="AM96" s="184"/>
      <c r="AN96" s="184"/>
      <c r="AO96" s="184"/>
    </row>
    <row r="97" spans="1:41" ht="11.45" hidden="1" x14ac:dyDescent="0.2">
      <c r="A97" s="178"/>
      <c r="B97" s="159"/>
      <c r="C97" s="159"/>
      <c r="D97" s="159"/>
      <c r="E97" s="159"/>
      <c r="F97" s="159"/>
      <c r="G97" s="159"/>
      <c r="H97" s="159"/>
      <c r="I97" s="159"/>
      <c r="J97" s="159"/>
      <c r="K97" s="159"/>
      <c r="L97" s="159"/>
      <c r="M97" s="159"/>
      <c r="N97" s="161"/>
      <c r="O97" s="161"/>
      <c r="P97" s="161"/>
      <c r="Q97" s="161"/>
      <c r="R97" s="161"/>
      <c r="S97" s="85">
        <f t="shared" si="19"/>
        <v>0</v>
      </c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  <c r="AH97" s="184"/>
      <c r="AI97" s="184"/>
      <c r="AJ97" s="184"/>
      <c r="AK97" s="184"/>
      <c r="AL97" s="184"/>
      <c r="AM97" s="184"/>
      <c r="AN97" s="184"/>
      <c r="AO97" s="184"/>
    </row>
    <row r="98" spans="1:41" ht="11.45" hidden="1" x14ac:dyDescent="0.2">
      <c r="A98" s="178"/>
      <c r="B98" s="159"/>
      <c r="C98" s="159"/>
      <c r="D98" s="159"/>
      <c r="E98" s="159"/>
      <c r="F98" s="159"/>
      <c r="G98" s="159"/>
      <c r="H98" s="159"/>
      <c r="I98" s="159"/>
      <c r="J98" s="159"/>
      <c r="K98" s="159"/>
      <c r="L98" s="159"/>
      <c r="M98" s="159"/>
      <c r="N98" s="161"/>
      <c r="O98" s="161"/>
      <c r="P98" s="161"/>
      <c r="Q98" s="161"/>
      <c r="R98" s="161"/>
      <c r="S98" s="85">
        <f t="shared" si="19"/>
        <v>0</v>
      </c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4"/>
      <c r="AF98" s="184"/>
      <c r="AG98" s="184"/>
      <c r="AH98" s="184"/>
      <c r="AI98" s="184"/>
      <c r="AJ98" s="184"/>
      <c r="AK98" s="184"/>
      <c r="AL98" s="184"/>
      <c r="AM98" s="184"/>
      <c r="AN98" s="184"/>
      <c r="AO98" s="184"/>
    </row>
    <row r="99" spans="1:41" ht="11.45" hidden="1" x14ac:dyDescent="0.2">
      <c r="A99" s="178"/>
      <c r="B99" s="159"/>
      <c r="C99" s="159"/>
      <c r="D99" s="159"/>
      <c r="E99" s="159"/>
      <c r="F99" s="159"/>
      <c r="G99" s="159"/>
      <c r="H99" s="159"/>
      <c r="I99" s="159"/>
      <c r="J99" s="159"/>
      <c r="K99" s="159"/>
      <c r="L99" s="159"/>
      <c r="M99" s="159"/>
      <c r="N99" s="161"/>
      <c r="O99" s="161"/>
      <c r="P99" s="161"/>
      <c r="Q99" s="161"/>
      <c r="R99" s="161"/>
      <c r="S99" s="85">
        <f t="shared" si="19"/>
        <v>0</v>
      </c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4"/>
      <c r="AF99" s="184"/>
      <c r="AG99" s="184"/>
      <c r="AH99" s="184"/>
      <c r="AI99" s="184"/>
      <c r="AJ99" s="184"/>
      <c r="AK99" s="184"/>
      <c r="AL99" s="184"/>
      <c r="AM99" s="184"/>
      <c r="AN99" s="184"/>
      <c r="AO99" s="184"/>
    </row>
    <row r="100" spans="1:41" ht="11.45" hidden="1" x14ac:dyDescent="0.2">
      <c r="A100" s="178"/>
      <c r="B100" s="159"/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  <c r="M100" s="159"/>
      <c r="N100" s="161"/>
      <c r="O100" s="161"/>
      <c r="P100" s="161"/>
      <c r="Q100" s="161"/>
      <c r="R100" s="161"/>
      <c r="S100" s="85">
        <f t="shared" si="19"/>
        <v>0</v>
      </c>
      <c r="T100" s="184"/>
      <c r="U100" s="184"/>
      <c r="V100" s="184"/>
      <c r="W100" s="184"/>
      <c r="X100" s="184"/>
      <c r="Y100" s="184"/>
      <c r="Z100" s="184"/>
      <c r="AA100" s="184"/>
      <c r="AB100" s="184"/>
      <c r="AC100" s="184"/>
      <c r="AD100" s="184"/>
      <c r="AE100" s="184"/>
      <c r="AF100" s="184"/>
      <c r="AG100" s="184"/>
      <c r="AH100" s="184"/>
      <c r="AI100" s="184"/>
      <c r="AJ100" s="184"/>
      <c r="AK100" s="184"/>
      <c r="AL100" s="184"/>
      <c r="AM100" s="184"/>
      <c r="AN100" s="184"/>
      <c r="AO100" s="184"/>
    </row>
    <row r="101" spans="1:41" ht="11.45" hidden="1" x14ac:dyDescent="0.2">
      <c r="A101" s="178"/>
      <c r="B101" s="159"/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  <c r="M101" s="159"/>
      <c r="N101" s="161"/>
      <c r="O101" s="161"/>
      <c r="P101" s="161"/>
      <c r="Q101" s="161"/>
      <c r="R101" s="161"/>
      <c r="S101" s="85">
        <f t="shared" si="19"/>
        <v>0</v>
      </c>
      <c r="T101" s="184"/>
      <c r="U101" s="184"/>
      <c r="V101" s="184"/>
      <c r="W101" s="184"/>
      <c r="X101" s="184"/>
      <c r="Y101" s="184"/>
      <c r="Z101" s="184"/>
      <c r="AA101" s="184"/>
      <c r="AB101" s="184"/>
      <c r="AC101" s="184"/>
      <c r="AD101" s="184"/>
      <c r="AE101" s="184"/>
      <c r="AF101" s="184"/>
      <c r="AG101" s="184"/>
      <c r="AH101" s="184"/>
      <c r="AI101" s="184"/>
      <c r="AJ101" s="184"/>
      <c r="AK101" s="184"/>
      <c r="AL101" s="184"/>
      <c r="AM101" s="184"/>
      <c r="AN101" s="184"/>
      <c r="AO101" s="184"/>
    </row>
    <row r="102" spans="1:41" ht="11.45" hidden="1" x14ac:dyDescent="0.2">
      <c r="A102" s="178"/>
      <c r="B102" s="159"/>
      <c r="C102" s="159"/>
      <c r="D102" s="159"/>
      <c r="E102" s="159"/>
      <c r="F102" s="159"/>
      <c r="G102" s="159"/>
      <c r="H102" s="159"/>
      <c r="I102" s="159"/>
      <c r="J102" s="159"/>
      <c r="K102" s="159"/>
      <c r="L102" s="159"/>
      <c r="M102" s="159"/>
      <c r="N102" s="161"/>
      <c r="O102" s="161"/>
      <c r="P102" s="161"/>
      <c r="Q102" s="161"/>
      <c r="R102" s="161"/>
      <c r="S102" s="85">
        <f t="shared" si="19"/>
        <v>0</v>
      </c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84"/>
      <c r="AL102" s="184"/>
      <c r="AM102" s="184"/>
      <c r="AN102" s="184"/>
      <c r="AO102" s="184"/>
    </row>
    <row r="103" spans="1:41" ht="11.45" hidden="1" x14ac:dyDescent="0.2">
      <c r="A103" s="178"/>
      <c r="B103" s="159"/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61"/>
      <c r="O103" s="161"/>
      <c r="P103" s="161"/>
      <c r="Q103" s="161"/>
      <c r="R103" s="161"/>
      <c r="S103" s="85">
        <f t="shared" si="19"/>
        <v>0</v>
      </c>
      <c r="T103" s="184"/>
      <c r="U103" s="184"/>
      <c r="V103" s="184"/>
      <c r="W103" s="184"/>
      <c r="X103" s="184"/>
      <c r="Y103" s="184"/>
      <c r="Z103" s="184"/>
      <c r="AA103" s="184"/>
      <c r="AB103" s="184"/>
      <c r="AC103" s="184"/>
      <c r="AD103" s="184"/>
      <c r="AE103" s="184"/>
      <c r="AF103" s="184"/>
      <c r="AG103" s="184"/>
      <c r="AH103" s="184"/>
      <c r="AI103" s="184"/>
      <c r="AJ103" s="184"/>
      <c r="AK103" s="184"/>
      <c r="AL103" s="184"/>
      <c r="AM103" s="184"/>
      <c r="AN103" s="184"/>
      <c r="AO103" s="184"/>
    </row>
    <row r="104" spans="1:41" ht="11.45" hidden="1" x14ac:dyDescent="0.2">
      <c r="A104" s="178"/>
      <c r="B104" s="159"/>
      <c r="C104" s="159"/>
      <c r="D104" s="159"/>
      <c r="E104" s="159"/>
      <c r="F104" s="159"/>
      <c r="G104" s="159"/>
      <c r="H104" s="159"/>
      <c r="I104" s="159"/>
      <c r="J104" s="159"/>
      <c r="K104" s="159"/>
      <c r="L104" s="159"/>
      <c r="M104" s="159"/>
      <c r="N104" s="161"/>
      <c r="O104" s="161"/>
      <c r="P104" s="161"/>
      <c r="Q104" s="161"/>
      <c r="R104" s="161"/>
      <c r="S104" s="85">
        <f t="shared" si="19"/>
        <v>0</v>
      </c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  <c r="AH104" s="184"/>
      <c r="AI104" s="184"/>
      <c r="AJ104" s="184"/>
      <c r="AK104" s="184"/>
      <c r="AL104" s="184"/>
      <c r="AM104" s="184"/>
      <c r="AN104" s="184"/>
      <c r="AO104" s="184"/>
    </row>
    <row r="105" spans="1:41" ht="11.45" hidden="1" x14ac:dyDescent="0.2">
      <c r="A105" s="178"/>
      <c r="B105" s="159"/>
      <c r="C105" s="159"/>
      <c r="D105" s="159"/>
      <c r="E105" s="159"/>
      <c r="F105" s="159"/>
      <c r="G105" s="159"/>
      <c r="H105" s="159"/>
      <c r="I105" s="159"/>
      <c r="J105" s="159"/>
      <c r="K105" s="159"/>
      <c r="L105" s="159"/>
      <c r="M105" s="159"/>
      <c r="N105" s="161"/>
      <c r="O105" s="161"/>
      <c r="P105" s="161"/>
      <c r="Q105" s="161"/>
      <c r="R105" s="161"/>
      <c r="S105" s="85">
        <f t="shared" si="19"/>
        <v>0</v>
      </c>
      <c r="T105" s="184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  <c r="AH105" s="184"/>
      <c r="AI105" s="184"/>
      <c r="AJ105" s="184"/>
      <c r="AK105" s="184"/>
      <c r="AL105" s="184"/>
      <c r="AM105" s="184"/>
      <c r="AN105" s="184"/>
      <c r="AO105" s="184"/>
    </row>
    <row r="106" spans="1:41" ht="11.45" hidden="1" x14ac:dyDescent="0.2">
      <c r="A106" s="178"/>
      <c r="B106" s="159"/>
      <c r="C106" s="159"/>
      <c r="D106" s="159"/>
      <c r="E106" s="159"/>
      <c r="F106" s="159"/>
      <c r="G106" s="159"/>
      <c r="H106" s="159"/>
      <c r="I106" s="159"/>
      <c r="J106" s="159"/>
      <c r="K106" s="159"/>
      <c r="L106" s="159"/>
      <c r="M106" s="159"/>
      <c r="N106" s="161"/>
      <c r="O106" s="161"/>
      <c r="P106" s="161"/>
      <c r="Q106" s="161"/>
      <c r="R106" s="161"/>
      <c r="S106" s="85">
        <f t="shared" si="19"/>
        <v>0</v>
      </c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  <c r="AH106" s="184"/>
      <c r="AI106" s="184"/>
      <c r="AJ106" s="184"/>
      <c r="AK106" s="184"/>
      <c r="AL106" s="184"/>
      <c r="AM106" s="184"/>
      <c r="AN106" s="184"/>
      <c r="AO106" s="184"/>
    </row>
    <row r="107" spans="1:41" ht="11.45" hidden="1" x14ac:dyDescent="0.2">
      <c r="A107" s="178"/>
      <c r="B107" s="159"/>
      <c r="C107" s="159"/>
      <c r="D107" s="159"/>
      <c r="E107" s="159"/>
      <c r="F107" s="159"/>
      <c r="G107" s="159"/>
      <c r="H107" s="159"/>
      <c r="I107" s="159"/>
      <c r="J107" s="159"/>
      <c r="K107" s="159"/>
      <c r="L107" s="159"/>
      <c r="M107" s="159"/>
      <c r="N107" s="161"/>
      <c r="O107" s="161"/>
      <c r="P107" s="161"/>
      <c r="Q107" s="161"/>
      <c r="R107" s="161"/>
      <c r="S107" s="85">
        <f t="shared" si="19"/>
        <v>0</v>
      </c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  <c r="AH107" s="184"/>
      <c r="AI107" s="184"/>
      <c r="AJ107" s="184"/>
      <c r="AK107" s="184"/>
      <c r="AL107" s="184"/>
      <c r="AM107" s="184"/>
      <c r="AN107" s="184"/>
      <c r="AO107" s="184"/>
    </row>
    <row r="108" spans="1:41" ht="11.45" hidden="1" x14ac:dyDescent="0.2">
      <c r="A108" s="178"/>
      <c r="B108" s="159"/>
      <c r="C108" s="159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61"/>
      <c r="O108" s="161"/>
      <c r="P108" s="161"/>
      <c r="Q108" s="161"/>
      <c r="R108" s="161"/>
      <c r="S108" s="85">
        <f t="shared" si="19"/>
        <v>0</v>
      </c>
      <c r="T108" s="184"/>
      <c r="U108" s="184"/>
      <c r="V108" s="184"/>
      <c r="W108" s="184"/>
      <c r="X108" s="184"/>
      <c r="Y108" s="184"/>
      <c r="Z108" s="184"/>
      <c r="AA108" s="184"/>
      <c r="AB108" s="184"/>
      <c r="AC108" s="184"/>
      <c r="AD108" s="184"/>
      <c r="AE108" s="184"/>
      <c r="AF108" s="184"/>
      <c r="AG108" s="184"/>
      <c r="AH108" s="184"/>
      <c r="AI108" s="184"/>
      <c r="AJ108" s="184"/>
      <c r="AK108" s="184"/>
      <c r="AL108" s="184"/>
      <c r="AM108" s="184"/>
      <c r="AN108" s="184"/>
      <c r="AO108" s="184"/>
    </row>
    <row r="109" spans="1:41" ht="11.45" hidden="1" x14ac:dyDescent="0.2">
      <c r="A109" s="178"/>
      <c r="B109" s="159"/>
      <c r="C109" s="159"/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61"/>
      <c r="O109" s="161"/>
      <c r="P109" s="161"/>
      <c r="Q109" s="161"/>
      <c r="R109" s="161"/>
      <c r="S109" s="85">
        <f t="shared" si="19"/>
        <v>0</v>
      </c>
      <c r="T109" s="184"/>
      <c r="U109" s="184"/>
      <c r="V109" s="184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  <c r="AH109" s="184"/>
      <c r="AI109" s="184"/>
      <c r="AJ109" s="184"/>
      <c r="AK109" s="184"/>
      <c r="AL109" s="184"/>
      <c r="AM109" s="184"/>
      <c r="AN109" s="184"/>
      <c r="AO109" s="184"/>
    </row>
    <row r="110" spans="1:41" ht="11.45" hidden="1" x14ac:dyDescent="0.2">
      <c r="A110" s="178"/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61"/>
      <c r="O110" s="161"/>
      <c r="P110" s="161"/>
      <c r="Q110" s="161"/>
      <c r="R110" s="161"/>
      <c r="S110" s="85">
        <f t="shared" si="19"/>
        <v>0</v>
      </c>
      <c r="T110" s="184"/>
      <c r="U110" s="184"/>
      <c r="V110" s="184"/>
      <c r="W110" s="184"/>
      <c r="X110" s="184"/>
      <c r="Y110" s="184"/>
      <c r="Z110" s="184"/>
      <c r="AA110" s="184"/>
      <c r="AB110" s="184"/>
      <c r="AC110" s="184"/>
      <c r="AD110" s="184"/>
      <c r="AE110" s="184"/>
      <c r="AF110" s="184"/>
      <c r="AG110" s="184"/>
      <c r="AH110" s="184"/>
      <c r="AI110" s="184"/>
      <c r="AJ110" s="184"/>
      <c r="AK110" s="184"/>
      <c r="AL110" s="184"/>
      <c r="AM110" s="184"/>
      <c r="AN110" s="184"/>
      <c r="AO110" s="184"/>
    </row>
    <row r="111" spans="1:41" ht="11.45" hidden="1" x14ac:dyDescent="0.2">
      <c r="A111" s="178"/>
      <c r="B111" s="159"/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61"/>
      <c r="O111" s="161"/>
      <c r="P111" s="161"/>
      <c r="Q111" s="161"/>
      <c r="R111" s="161"/>
      <c r="S111" s="85">
        <f t="shared" si="19"/>
        <v>0</v>
      </c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  <c r="AH111" s="184"/>
      <c r="AI111" s="184"/>
      <c r="AJ111" s="184"/>
      <c r="AK111" s="184"/>
      <c r="AL111" s="184"/>
      <c r="AM111" s="184"/>
      <c r="AN111" s="184"/>
      <c r="AO111" s="184"/>
    </row>
    <row r="112" spans="1:41" ht="11.45" hidden="1" x14ac:dyDescent="0.2">
      <c r="A112" s="178"/>
      <c r="B112" s="159"/>
      <c r="C112" s="159"/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61"/>
      <c r="O112" s="161"/>
      <c r="P112" s="161"/>
      <c r="Q112" s="161"/>
      <c r="R112" s="161"/>
      <c r="S112" s="85">
        <f t="shared" si="19"/>
        <v>0</v>
      </c>
      <c r="T112" s="184"/>
      <c r="U112" s="184"/>
      <c r="V112" s="184"/>
      <c r="W112" s="184"/>
      <c r="X112" s="184"/>
      <c r="Y112" s="184"/>
      <c r="Z112" s="184"/>
      <c r="AA112" s="184"/>
      <c r="AB112" s="184"/>
      <c r="AC112" s="184"/>
      <c r="AD112" s="184"/>
      <c r="AE112" s="184"/>
      <c r="AF112" s="184"/>
      <c r="AG112" s="184"/>
      <c r="AH112" s="184"/>
      <c r="AI112" s="184"/>
      <c r="AJ112" s="184"/>
      <c r="AK112" s="184"/>
      <c r="AL112" s="184"/>
      <c r="AM112" s="184"/>
      <c r="AN112" s="184"/>
      <c r="AO112" s="184"/>
    </row>
    <row r="113" spans="1:41" ht="11.45" hidden="1" x14ac:dyDescent="0.2">
      <c r="A113" s="178"/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61"/>
      <c r="O113" s="161"/>
      <c r="P113" s="161"/>
      <c r="Q113" s="161"/>
      <c r="R113" s="161"/>
      <c r="S113" s="85">
        <f t="shared" si="19"/>
        <v>0</v>
      </c>
      <c r="T113" s="184"/>
      <c r="U113" s="184"/>
      <c r="V113" s="184"/>
      <c r="W113" s="184"/>
      <c r="X113" s="184"/>
      <c r="Y113" s="184"/>
      <c r="Z113" s="184"/>
      <c r="AA113" s="184"/>
      <c r="AB113" s="184"/>
      <c r="AC113" s="184"/>
      <c r="AD113" s="184"/>
      <c r="AE113" s="184"/>
      <c r="AF113" s="184"/>
      <c r="AG113" s="184"/>
      <c r="AH113" s="184"/>
      <c r="AI113" s="184"/>
      <c r="AJ113" s="184"/>
      <c r="AK113" s="184"/>
      <c r="AL113" s="184"/>
      <c r="AM113" s="184"/>
      <c r="AN113" s="184"/>
      <c r="AO113" s="184"/>
    </row>
    <row r="114" spans="1:41" ht="11.45" hidden="1" x14ac:dyDescent="0.2">
      <c r="A114" s="178"/>
      <c r="B114" s="159"/>
      <c r="C114" s="159"/>
      <c r="D114" s="159"/>
      <c r="E114" s="159"/>
      <c r="F114" s="159"/>
      <c r="G114" s="159"/>
      <c r="H114" s="159"/>
      <c r="I114" s="159"/>
      <c r="J114" s="159"/>
      <c r="K114" s="159"/>
      <c r="L114" s="159"/>
      <c r="M114" s="159"/>
      <c r="N114" s="161"/>
      <c r="O114" s="161"/>
      <c r="P114" s="161"/>
      <c r="Q114" s="161"/>
      <c r="R114" s="161"/>
      <c r="S114" s="85">
        <f t="shared" si="19"/>
        <v>0</v>
      </c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  <c r="AH114" s="184"/>
      <c r="AI114" s="184"/>
      <c r="AJ114" s="184"/>
      <c r="AK114" s="184"/>
      <c r="AL114" s="184"/>
      <c r="AM114" s="184"/>
      <c r="AN114" s="184"/>
      <c r="AO114" s="184"/>
    </row>
    <row r="115" spans="1:41" ht="11.45" hidden="1" x14ac:dyDescent="0.2">
      <c r="A115" s="178"/>
      <c r="B115" s="159"/>
      <c r="C115" s="159"/>
      <c r="D115" s="159"/>
      <c r="E115" s="159"/>
      <c r="F115" s="159"/>
      <c r="G115" s="159"/>
      <c r="H115" s="159"/>
      <c r="I115" s="159"/>
      <c r="J115" s="159"/>
      <c r="K115" s="159"/>
      <c r="L115" s="159"/>
      <c r="M115" s="159"/>
      <c r="N115" s="161"/>
      <c r="O115" s="161"/>
      <c r="P115" s="161"/>
      <c r="Q115" s="161"/>
      <c r="R115" s="161"/>
      <c r="S115" s="85">
        <f t="shared" si="19"/>
        <v>0</v>
      </c>
      <c r="T115" s="184"/>
      <c r="U115" s="184"/>
      <c r="V115" s="184"/>
      <c r="W115" s="184"/>
      <c r="X115" s="184"/>
      <c r="Y115" s="184"/>
      <c r="Z115" s="184"/>
      <c r="AA115" s="184"/>
      <c r="AB115" s="184"/>
      <c r="AC115" s="184"/>
      <c r="AD115" s="184"/>
      <c r="AE115" s="184"/>
      <c r="AF115" s="184"/>
      <c r="AG115" s="184"/>
      <c r="AH115" s="184"/>
      <c r="AI115" s="184"/>
      <c r="AJ115" s="184"/>
      <c r="AK115" s="184"/>
      <c r="AL115" s="184"/>
      <c r="AM115" s="184"/>
      <c r="AN115" s="184"/>
      <c r="AO115" s="184"/>
    </row>
    <row r="116" spans="1:41" ht="11.45" hidden="1" x14ac:dyDescent="0.2">
      <c r="A116" s="178"/>
      <c r="B116" s="159"/>
      <c r="C116" s="159"/>
      <c r="D116" s="159"/>
      <c r="E116" s="159"/>
      <c r="F116" s="159"/>
      <c r="G116" s="159"/>
      <c r="H116" s="159"/>
      <c r="I116" s="159"/>
      <c r="J116" s="159"/>
      <c r="K116" s="159"/>
      <c r="L116" s="159"/>
      <c r="M116" s="159"/>
      <c r="N116" s="161"/>
      <c r="O116" s="161"/>
      <c r="P116" s="161"/>
      <c r="Q116" s="161"/>
      <c r="R116" s="161"/>
      <c r="S116" s="85">
        <f t="shared" si="19"/>
        <v>0</v>
      </c>
      <c r="T116" s="184"/>
      <c r="U116" s="184"/>
      <c r="V116" s="184"/>
      <c r="W116" s="184"/>
      <c r="X116" s="184"/>
      <c r="Y116" s="184"/>
      <c r="Z116" s="184"/>
      <c r="AA116" s="184"/>
      <c r="AB116" s="184"/>
      <c r="AC116" s="184"/>
      <c r="AD116" s="184"/>
      <c r="AE116" s="184"/>
      <c r="AF116" s="184"/>
      <c r="AG116" s="184"/>
      <c r="AH116" s="184"/>
      <c r="AI116" s="184"/>
      <c r="AJ116" s="184"/>
      <c r="AK116" s="184"/>
      <c r="AL116" s="184"/>
      <c r="AM116" s="184"/>
      <c r="AN116" s="184"/>
      <c r="AO116" s="184"/>
    </row>
    <row r="117" spans="1:41" ht="11.45" x14ac:dyDescent="0.2">
      <c r="A117" s="318" t="s">
        <v>67</v>
      </c>
      <c r="B117" s="319"/>
      <c r="C117" s="319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8">
        <f t="shared" ref="N117:S117" si="20">SUM(N88:N116)</f>
        <v>0</v>
      </c>
      <c r="O117" s="128">
        <f t="shared" si="20"/>
        <v>0</v>
      </c>
      <c r="P117" s="128">
        <f t="shared" si="20"/>
        <v>0</v>
      </c>
      <c r="Q117" s="128">
        <f t="shared" si="20"/>
        <v>0</v>
      </c>
      <c r="R117" s="128">
        <f t="shared" si="20"/>
        <v>0</v>
      </c>
      <c r="S117" s="128">
        <f t="shared" si="20"/>
        <v>0</v>
      </c>
      <c r="T117" s="184"/>
      <c r="U117" s="184"/>
      <c r="V117" s="184"/>
      <c r="W117" s="184"/>
      <c r="X117" s="184"/>
      <c r="Y117" s="184"/>
      <c r="Z117" s="184"/>
      <c r="AA117" s="184"/>
      <c r="AB117" s="184"/>
      <c r="AC117" s="184"/>
      <c r="AD117" s="184"/>
      <c r="AE117" s="184"/>
      <c r="AF117" s="184"/>
      <c r="AG117" s="184"/>
      <c r="AH117" s="184"/>
      <c r="AI117" s="184"/>
      <c r="AJ117" s="184"/>
      <c r="AK117" s="184"/>
      <c r="AL117" s="184"/>
      <c r="AM117" s="184"/>
      <c r="AN117" s="184"/>
      <c r="AO117" s="184"/>
    </row>
    <row r="118" spans="1:41" x14ac:dyDescent="0.2">
      <c r="T118" s="184"/>
      <c r="U118" s="18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4"/>
      <c r="AG118" s="184"/>
      <c r="AH118" s="184"/>
      <c r="AI118" s="184"/>
      <c r="AJ118" s="184"/>
      <c r="AK118" s="184"/>
      <c r="AL118" s="184"/>
      <c r="AM118" s="184"/>
      <c r="AN118" s="184"/>
      <c r="AO118" s="184"/>
    </row>
    <row r="119" spans="1:41" ht="11.45" hidden="1" x14ac:dyDescent="0.2">
      <c r="A119" s="311" t="s">
        <v>68</v>
      </c>
      <c r="B119" s="312"/>
      <c r="C119" s="312"/>
      <c r="D119" s="54"/>
      <c r="E119" s="54"/>
      <c r="F119" s="54"/>
      <c r="G119" s="54"/>
      <c r="H119" s="54"/>
      <c r="I119" s="54"/>
      <c r="J119" s="54"/>
      <c r="K119" s="320"/>
      <c r="L119" s="321"/>
      <c r="M119" s="322"/>
      <c r="N119" s="216"/>
      <c r="O119" s="102"/>
      <c r="P119" s="102"/>
      <c r="Q119" s="102"/>
      <c r="R119" s="102"/>
      <c r="S119" s="102" t="str">
        <f>S87</f>
        <v>Total</v>
      </c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  <c r="AH119" s="184"/>
      <c r="AI119" s="184"/>
      <c r="AJ119" s="184"/>
      <c r="AK119" s="184"/>
      <c r="AL119" s="184"/>
      <c r="AM119" s="184"/>
      <c r="AN119" s="184"/>
      <c r="AO119" s="184"/>
    </row>
    <row r="120" spans="1:41" ht="11.45" hidden="1" x14ac:dyDescent="0.2">
      <c r="A120" s="178"/>
      <c r="B120" s="159"/>
      <c r="C120" s="159"/>
      <c r="D120" s="159"/>
      <c r="E120" s="159"/>
      <c r="F120" s="159"/>
      <c r="G120" s="159"/>
      <c r="H120" s="159"/>
      <c r="I120" s="159"/>
      <c r="J120" s="159"/>
      <c r="K120" s="315"/>
      <c r="L120" s="316"/>
      <c r="M120" s="317"/>
      <c r="N120" s="160"/>
      <c r="O120" s="160"/>
      <c r="P120" s="160"/>
      <c r="Q120" s="162"/>
      <c r="R120" s="162"/>
      <c r="S120" s="85">
        <f>SUM(N120:R120)</f>
        <v>0</v>
      </c>
      <c r="T120" s="193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4"/>
      <c r="AG120" s="184"/>
      <c r="AH120" s="184"/>
      <c r="AI120" s="184"/>
      <c r="AJ120" s="184"/>
      <c r="AK120" s="184"/>
      <c r="AL120" s="184"/>
      <c r="AM120" s="184"/>
      <c r="AN120" s="184"/>
      <c r="AO120" s="184"/>
    </row>
    <row r="121" spans="1:41" ht="11.45" hidden="1" x14ac:dyDescent="0.2">
      <c r="A121" s="178"/>
      <c r="B121" s="159"/>
      <c r="C121" s="159"/>
      <c r="D121" s="159"/>
      <c r="E121" s="159"/>
      <c r="F121" s="159"/>
      <c r="G121" s="159"/>
      <c r="H121" s="159"/>
      <c r="I121" s="159"/>
      <c r="J121" s="159"/>
      <c r="K121" s="315"/>
      <c r="L121" s="316"/>
      <c r="M121" s="317"/>
      <c r="N121" s="160"/>
      <c r="O121" s="160"/>
      <c r="P121" s="160"/>
      <c r="Q121" s="162"/>
      <c r="R121" s="162"/>
      <c r="S121" s="85">
        <f t="shared" ref="S121:S134" si="21">SUM(N121:R121)</f>
        <v>0</v>
      </c>
      <c r="T121" s="193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  <c r="AF121" s="184"/>
      <c r="AG121" s="184"/>
      <c r="AH121" s="184"/>
      <c r="AI121" s="184"/>
      <c r="AJ121" s="184"/>
      <c r="AK121" s="184"/>
      <c r="AL121" s="184"/>
      <c r="AM121" s="184"/>
      <c r="AN121" s="184"/>
      <c r="AO121" s="184"/>
    </row>
    <row r="122" spans="1:41" ht="11.45" hidden="1" x14ac:dyDescent="0.2">
      <c r="A122" s="178"/>
      <c r="B122" s="159"/>
      <c r="C122" s="159"/>
      <c r="D122" s="159"/>
      <c r="E122" s="159"/>
      <c r="F122" s="159"/>
      <c r="G122" s="159"/>
      <c r="H122" s="159"/>
      <c r="I122" s="159"/>
      <c r="J122" s="159"/>
      <c r="K122" s="315" t="s">
        <v>183</v>
      </c>
      <c r="L122" s="316"/>
      <c r="M122" s="317"/>
      <c r="N122" s="162"/>
      <c r="O122" s="162"/>
      <c r="P122" s="162"/>
      <c r="Q122" s="162"/>
      <c r="R122" s="162"/>
      <c r="S122" s="85">
        <f t="shared" si="21"/>
        <v>0</v>
      </c>
      <c r="T122" s="193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4"/>
      <c r="AH122" s="184"/>
      <c r="AI122" s="184"/>
      <c r="AJ122" s="184"/>
      <c r="AK122" s="184"/>
      <c r="AL122" s="184"/>
      <c r="AM122" s="184"/>
      <c r="AN122" s="184"/>
      <c r="AO122" s="184"/>
    </row>
    <row r="123" spans="1:41" ht="11.45" hidden="1" x14ac:dyDescent="0.2">
      <c r="A123" s="178"/>
      <c r="B123" s="159"/>
      <c r="C123" s="159"/>
      <c r="D123" s="159"/>
      <c r="E123" s="159"/>
      <c r="F123" s="159"/>
      <c r="G123" s="159"/>
      <c r="H123" s="159"/>
      <c r="I123" s="159"/>
      <c r="J123" s="159"/>
      <c r="K123" s="315" t="s">
        <v>183</v>
      </c>
      <c r="L123" s="316"/>
      <c r="M123" s="317"/>
      <c r="N123" s="162"/>
      <c r="O123" s="162"/>
      <c r="P123" s="162"/>
      <c r="Q123" s="162"/>
      <c r="R123" s="162"/>
      <c r="S123" s="85">
        <f t="shared" si="21"/>
        <v>0</v>
      </c>
      <c r="T123" s="193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  <c r="AH123" s="184"/>
      <c r="AI123" s="184"/>
      <c r="AJ123" s="184"/>
      <c r="AK123" s="184"/>
      <c r="AL123" s="184"/>
      <c r="AM123" s="184"/>
      <c r="AN123" s="184"/>
      <c r="AO123" s="184"/>
    </row>
    <row r="124" spans="1:41" ht="11.45" hidden="1" x14ac:dyDescent="0.2">
      <c r="A124" s="178"/>
      <c r="B124" s="159"/>
      <c r="C124" s="159"/>
      <c r="D124" s="159"/>
      <c r="E124" s="159"/>
      <c r="F124" s="159"/>
      <c r="G124" s="159"/>
      <c r="H124" s="159"/>
      <c r="I124" s="159"/>
      <c r="J124" s="159"/>
      <c r="K124" s="315" t="s">
        <v>183</v>
      </c>
      <c r="L124" s="316"/>
      <c r="M124" s="317"/>
      <c r="N124" s="162"/>
      <c r="O124" s="162"/>
      <c r="P124" s="162"/>
      <c r="Q124" s="162"/>
      <c r="R124" s="162"/>
      <c r="S124" s="85">
        <f t="shared" si="21"/>
        <v>0</v>
      </c>
      <c r="T124" s="193"/>
      <c r="U124" s="184"/>
      <c r="V124" s="184"/>
      <c r="W124" s="184"/>
      <c r="X124" s="184"/>
      <c r="Y124" s="184"/>
      <c r="Z124" s="184"/>
      <c r="AA124" s="184"/>
      <c r="AB124" s="184"/>
      <c r="AC124" s="184"/>
      <c r="AD124" s="184"/>
      <c r="AE124" s="184"/>
      <c r="AF124" s="184"/>
      <c r="AG124" s="184"/>
      <c r="AH124" s="184"/>
      <c r="AI124" s="184"/>
      <c r="AJ124" s="184"/>
      <c r="AK124" s="184"/>
      <c r="AL124" s="184"/>
      <c r="AM124" s="184"/>
      <c r="AN124" s="184"/>
      <c r="AO124" s="184"/>
    </row>
    <row r="125" spans="1:41" ht="11.45" hidden="1" x14ac:dyDescent="0.2">
      <c r="A125" s="178"/>
      <c r="B125" s="159"/>
      <c r="C125" s="159"/>
      <c r="D125" s="159"/>
      <c r="E125" s="159"/>
      <c r="F125" s="159"/>
      <c r="G125" s="159"/>
      <c r="H125" s="159"/>
      <c r="I125" s="159"/>
      <c r="J125" s="159"/>
      <c r="K125" s="315" t="s">
        <v>183</v>
      </c>
      <c r="L125" s="316"/>
      <c r="M125" s="317"/>
      <c r="N125" s="162"/>
      <c r="O125" s="162"/>
      <c r="P125" s="162"/>
      <c r="Q125" s="162"/>
      <c r="R125" s="162"/>
      <c r="S125" s="85">
        <f t="shared" si="21"/>
        <v>0</v>
      </c>
      <c r="T125" s="193"/>
      <c r="U125" s="184"/>
      <c r="V125" s="184"/>
      <c r="W125" s="184"/>
      <c r="X125" s="184"/>
      <c r="Y125" s="184"/>
      <c r="Z125" s="184"/>
      <c r="AA125" s="184"/>
      <c r="AB125" s="184"/>
      <c r="AC125" s="184"/>
      <c r="AD125" s="184"/>
      <c r="AE125" s="184"/>
      <c r="AF125" s="184"/>
      <c r="AG125" s="184"/>
      <c r="AH125" s="184"/>
      <c r="AI125" s="184"/>
      <c r="AJ125" s="184"/>
      <c r="AK125" s="184"/>
      <c r="AL125" s="184"/>
      <c r="AM125" s="184"/>
      <c r="AN125" s="184"/>
      <c r="AO125" s="184"/>
    </row>
    <row r="126" spans="1:41" ht="11.45" hidden="1" x14ac:dyDescent="0.2">
      <c r="A126" s="178"/>
      <c r="B126" s="159"/>
      <c r="C126" s="159"/>
      <c r="D126" s="159"/>
      <c r="E126" s="159"/>
      <c r="F126" s="159"/>
      <c r="G126" s="159"/>
      <c r="H126" s="159"/>
      <c r="I126" s="159"/>
      <c r="J126" s="159"/>
      <c r="K126" s="315" t="s">
        <v>183</v>
      </c>
      <c r="L126" s="316"/>
      <c r="M126" s="317"/>
      <c r="N126" s="162"/>
      <c r="O126" s="162"/>
      <c r="P126" s="162"/>
      <c r="Q126" s="162"/>
      <c r="R126" s="162"/>
      <c r="S126" s="85">
        <f t="shared" si="21"/>
        <v>0</v>
      </c>
      <c r="T126" s="193"/>
      <c r="U126" s="184"/>
      <c r="V126" s="184"/>
      <c r="W126" s="184"/>
      <c r="X126" s="184"/>
      <c r="Y126" s="184"/>
      <c r="Z126" s="184"/>
      <c r="AA126" s="184"/>
      <c r="AB126" s="184"/>
      <c r="AC126" s="184"/>
      <c r="AD126" s="184"/>
      <c r="AE126" s="184"/>
      <c r="AF126" s="184"/>
      <c r="AG126" s="184"/>
      <c r="AH126" s="184"/>
      <c r="AI126" s="184"/>
      <c r="AJ126" s="184"/>
      <c r="AK126" s="184"/>
      <c r="AL126" s="184"/>
      <c r="AM126" s="184"/>
      <c r="AN126" s="184"/>
      <c r="AO126" s="184"/>
    </row>
    <row r="127" spans="1:41" ht="11.45" hidden="1" x14ac:dyDescent="0.2">
      <c r="A127" s="178"/>
      <c r="B127" s="159"/>
      <c r="C127" s="159"/>
      <c r="D127" s="159"/>
      <c r="E127" s="159"/>
      <c r="F127" s="159"/>
      <c r="G127" s="159"/>
      <c r="H127" s="159"/>
      <c r="I127" s="159"/>
      <c r="J127" s="159"/>
      <c r="K127" s="315" t="s">
        <v>183</v>
      </c>
      <c r="L127" s="316"/>
      <c r="M127" s="317"/>
      <c r="N127" s="162"/>
      <c r="O127" s="162"/>
      <c r="P127" s="162"/>
      <c r="Q127" s="162"/>
      <c r="R127" s="162"/>
      <c r="S127" s="85">
        <f t="shared" si="21"/>
        <v>0</v>
      </c>
      <c r="T127" s="193"/>
      <c r="U127" s="184"/>
      <c r="V127" s="184"/>
      <c r="W127" s="184"/>
      <c r="X127" s="184"/>
      <c r="Y127" s="184"/>
      <c r="Z127" s="184"/>
      <c r="AA127" s="184"/>
      <c r="AB127" s="184"/>
      <c r="AC127" s="184"/>
      <c r="AD127" s="184"/>
      <c r="AE127" s="184"/>
      <c r="AF127" s="184"/>
      <c r="AG127" s="184"/>
      <c r="AH127" s="184"/>
      <c r="AI127" s="184"/>
      <c r="AJ127" s="184"/>
      <c r="AK127" s="184"/>
      <c r="AL127" s="184"/>
      <c r="AM127" s="184"/>
      <c r="AN127" s="184"/>
      <c r="AO127" s="184"/>
    </row>
    <row r="128" spans="1:41" ht="11.45" hidden="1" x14ac:dyDescent="0.2">
      <c r="A128" s="178"/>
      <c r="B128" s="159"/>
      <c r="C128" s="159"/>
      <c r="D128" s="159"/>
      <c r="E128" s="159"/>
      <c r="F128" s="159"/>
      <c r="G128" s="159"/>
      <c r="H128" s="159"/>
      <c r="I128" s="159"/>
      <c r="J128" s="159"/>
      <c r="K128" s="315" t="s">
        <v>183</v>
      </c>
      <c r="L128" s="316"/>
      <c r="M128" s="317"/>
      <c r="N128" s="162"/>
      <c r="O128" s="162"/>
      <c r="P128" s="162"/>
      <c r="Q128" s="162"/>
      <c r="R128" s="162"/>
      <c r="S128" s="85">
        <f t="shared" si="21"/>
        <v>0</v>
      </c>
      <c r="T128" s="193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  <c r="AF128" s="184"/>
      <c r="AG128" s="184"/>
      <c r="AH128" s="184"/>
      <c r="AI128" s="184"/>
      <c r="AJ128" s="184"/>
      <c r="AK128" s="184"/>
      <c r="AL128" s="184"/>
      <c r="AM128" s="184"/>
      <c r="AN128" s="184"/>
      <c r="AO128" s="184"/>
    </row>
    <row r="129" spans="1:41" ht="11.45" hidden="1" x14ac:dyDescent="0.2">
      <c r="A129" s="178"/>
      <c r="B129" s="159"/>
      <c r="C129" s="159"/>
      <c r="D129" s="159"/>
      <c r="E129" s="159"/>
      <c r="F129" s="159"/>
      <c r="G129" s="159"/>
      <c r="H129" s="159"/>
      <c r="I129" s="159"/>
      <c r="J129" s="159"/>
      <c r="K129" s="315" t="s">
        <v>183</v>
      </c>
      <c r="L129" s="316"/>
      <c r="M129" s="317"/>
      <c r="N129" s="162"/>
      <c r="O129" s="162"/>
      <c r="P129" s="162"/>
      <c r="Q129" s="162"/>
      <c r="R129" s="162"/>
      <c r="S129" s="85">
        <f t="shared" si="21"/>
        <v>0</v>
      </c>
      <c r="T129" s="193"/>
      <c r="U129" s="184"/>
      <c r="V129" s="184"/>
      <c r="W129" s="184"/>
      <c r="X129" s="184"/>
      <c r="Y129" s="184"/>
      <c r="Z129" s="184"/>
      <c r="AA129" s="184"/>
      <c r="AB129" s="184"/>
      <c r="AC129" s="184"/>
      <c r="AD129" s="184"/>
      <c r="AE129" s="184"/>
      <c r="AF129" s="184"/>
      <c r="AG129" s="184"/>
      <c r="AH129" s="184"/>
      <c r="AI129" s="184"/>
      <c r="AJ129" s="184"/>
      <c r="AK129" s="184"/>
      <c r="AL129" s="184"/>
      <c r="AM129" s="184"/>
      <c r="AN129" s="184"/>
      <c r="AO129" s="184"/>
    </row>
    <row r="130" spans="1:41" ht="11.45" hidden="1" x14ac:dyDescent="0.2">
      <c r="A130" s="178"/>
      <c r="B130" s="159"/>
      <c r="C130" s="159"/>
      <c r="D130" s="159"/>
      <c r="E130" s="159"/>
      <c r="F130" s="159"/>
      <c r="G130" s="159"/>
      <c r="H130" s="159"/>
      <c r="I130" s="159"/>
      <c r="J130" s="159"/>
      <c r="K130" s="315" t="s">
        <v>183</v>
      </c>
      <c r="L130" s="316"/>
      <c r="M130" s="317"/>
      <c r="N130" s="162"/>
      <c r="O130" s="162"/>
      <c r="P130" s="162"/>
      <c r="Q130" s="162"/>
      <c r="R130" s="162"/>
      <c r="S130" s="85">
        <f t="shared" si="21"/>
        <v>0</v>
      </c>
      <c r="T130" s="193"/>
      <c r="U130" s="184"/>
      <c r="V130" s="184"/>
      <c r="W130" s="184"/>
      <c r="X130" s="184"/>
      <c r="Y130" s="184"/>
      <c r="Z130" s="184"/>
      <c r="AA130" s="184"/>
      <c r="AB130" s="184"/>
      <c r="AC130" s="184"/>
      <c r="AD130" s="184"/>
      <c r="AE130" s="184"/>
      <c r="AF130" s="184"/>
      <c r="AG130" s="184"/>
      <c r="AH130" s="184"/>
      <c r="AI130" s="184"/>
      <c r="AJ130" s="184"/>
      <c r="AK130" s="184"/>
      <c r="AL130" s="184"/>
      <c r="AM130" s="184"/>
      <c r="AN130" s="184"/>
      <c r="AO130" s="184"/>
    </row>
    <row r="131" spans="1:41" ht="11.45" hidden="1" x14ac:dyDescent="0.2">
      <c r="A131" s="178"/>
      <c r="B131" s="159"/>
      <c r="C131" s="159"/>
      <c r="D131" s="159"/>
      <c r="E131" s="159"/>
      <c r="F131" s="159"/>
      <c r="G131" s="159"/>
      <c r="H131" s="159"/>
      <c r="I131" s="159"/>
      <c r="J131" s="159"/>
      <c r="K131" s="315" t="s">
        <v>183</v>
      </c>
      <c r="L131" s="316"/>
      <c r="M131" s="317"/>
      <c r="N131" s="162"/>
      <c r="O131" s="162"/>
      <c r="P131" s="162"/>
      <c r="Q131" s="162"/>
      <c r="R131" s="162"/>
      <c r="S131" s="85">
        <f t="shared" si="21"/>
        <v>0</v>
      </c>
      <c r="T131" s="193"/>
      <c r="U131" s="184"/>
      <c r="V131" s="184"/>
      <c r="W131" s="184"/>
      <c r="X131" s="184"/>
      <c r="Y131" s="184"/>
      <c r="Z131" s="184"/>
      <c r="AA131" s="184"/>
      <c r="AB131" s="184"/>
      <c r="AC131" s="184"/>
      <c r="AD131" s="184"/>
      <c r="AE131" s="184"/>
      <c r="AF131" s="184"/>
      <c r="AG131" s="184"/>
      <c r="AH131" s="184"/>
      <c r="AI131" s="184"/>
      <c r="AJ131" s="184"/>
      <c r="AK131" s="184"/>
      <c r="AL131" s="184"/>
      <c r="AM131" s="184"/>
      <c r="AN131" s="184"/>
      <c r="AO131" s="184"/>
    </row>
    <row r="132" spans="1:41" ht="11.45" hidden="1" x14ac:dyDescent="0.2">
      <c r="A132" s="178"/>
      <c r="B132" s="159"/>
      <c r="C132" s="159"/>
      <c r="D132" s="159"/>
      <c r="E132" s="159"/>
      <c r="F132" s="159"/>
      <c r="G132" s="159"/>
      <c r="H132" s="159"/>
      <c r="I132" s="159"/>
      <c r="J132" s="159"/>
      <c r="K132" s="315" t="s">
        <v>183</v>
      </c>
      <c r="L132" s="316"/>
      <c r="M132" s="317"/>
      <c r="N132" s="162"/>
      <c r="O132" s="162"/>
      <c r="P132" s="162"/>
      <c r="Q132" s="162"/>
      <c r="R132" s="162"/>
      <c r="S132" s="85">
        <f t="shared" si="21"/>
        <v>0</v>
      </c>
      <c r="T132" s="184"/>
      <c r="U132" s="184"/>
      <c r="V132" s="184"/>
      <c r="W132" s="184"/>
      <c r="X132" s="184"/>
      <c r="Y132" s="184"/>
      <c r="Z132" s="184"/>
      <c r="AA132" s="184"/>
      <c r="AB132" s="184"/>
      <c r="AC132" s="184"/>
      <c r="AD132" s="184"/>
      <c r="AE132" s="184"/>
      <c r="AF132" s="184"/>
      <c r="AG132" s="184"/>
      <c r="AH132" s="184"/>
      <c r="AI132" s="184"/>
      <c r="AJ132" s="184"/>
      <c r="AK132" s="184"/>
      <c r="AL132" s="184"/>
      <c r="AM132" s="184"/>
      <c r="AN132" s="184"/>
      <c r="AO132" s="184"/>
    </row>
    <row r="133" spans="1:41" ht="11.45" hidden="1" x14ac:dyDescent="0.2">
      <c r="A133" s="178"/>
      <c r="B133" s="159"/>
      <c r="C133" s="159"/>
      <c r="D133" s="159"/>
      <c r="E133" s="159"/>
      <c r="F133" s="159"/>
      <c r="G133" s="159"/>
      <c r="H133" s="159"/>
      <c r="I133" s="159"/>
      <c r="J133" s="159"/>
      <c r="K133" s="315" t="s">
        <v>183</v>
      </c>
      <c r="L133" s="316"/>
      <c r="M133" s="317"/>
      <c r="N133" s="162"/>
      <c r="O133" s="162"/>
      <c r="P133" s="162"/>
      <c r="Q133" s="162"/>
      <c r="R133" s="162"/>
      <c r="S133" s="85">
        <f t="shared" si="21"/>
        <v>0</v>
      </c>
      <c r="T133" s="184"/>
      <c r="U133" s="184"/>
      <c r="V133" s="184"/>
      <c r="W133" s="184"/>
      <c r="X133" s="184"/>
      <c r="Y133" s="184"/>
      <c r="Z133" s="184"/>
      <c r="AA133" s="184"/>
      <c r="AB133" s="184"/>
      <c r="AC133" s="184"/>
      <c r="AD133" s="184"/>
      <c r="AE133" s="184"/>
      <c r="AF133" s="184"/>
      <c r="AG133" s="184"/>
      <c r="AH133" s="184"/>
      <c r="AI133" s="184"/>
      <c r="AJ133" s="184"/>
      <c r="AK133" s="184"/>
      <c r="AL133" s="184"/>
      <c r="AM133" s="184"/>
      <c r="AN133" s="184"/>
      <c r="AO133" s="184"/>
    </row>
    <row r="134" spans="1:41" ht="11.45" hidden="1" x14ac:dyDescent="0.2">
      <c r="A134" s="178"/>
      <c r="B134" s="159"/>
      <c r="C134" s="159"/>
      <c r="D134" s="159"/>
      <c r="E134" s="159"/>
      <c r="F134" s="159"/>
      <c r="G134" s="159"/>
      <c r="H134" s="159"/>
      <c r="I134" s="159"/>
      <c r="J134" s="159"/>
      <c r="K134" s="315" t="s">
        <v>183</v>
      </c>
      <c r="L134" s="316"/>
      <c r="M134" s="317"/>
      <c r="N134" s="162"/>
      <c r="O134" s="162"/>
      <c r="P134" s="162"/>
      <c r="Q134" s="162"/>
      <c r="R134" s="162"/>
      <c r="S134" s="85">
        <f t="shared" si="21"/>
        <v>0</v>
      </c>
      <c r="T134" s="184"/>
      <c r="U134" s="184"/>
      <c r="V134" s="184"/>
      <c r="W134" s="184"/>
      <c r="X134" s="184"/>
      <c r="Y134" s="184"/>
      <c r="Z134" s="184"/>
      <c r="AA134" s="184"/>
      <c r="AB134" s="184"/>
      <c r="AC134" s="184"/>
      <c r="AD134" s="184"/>
      <c r="AE134" s="184"/>
      <c r="AF134" s="184"/>
      <c r="AG134" s="184"/>
      <c r="AH134" s="184"/>
      <c r="AI134" s="184"/>
      <c r="AJ134" s="184"/>
      <c r="AK134" s="184"/>
      <c r="AL134" s="184"/>
      <c r="AM134" s="184"/>
      <c r="AN134" s="184"/>
      <c r="AO134" s="184"/>
    </row>
    <row r="135" spans="1:41" hidden="1" x14ac:dyDescent="0.2">
      <c r="A135" s="318" t="s">
        <v>69</v>
      </c>
      <c r="B135" s="319"/>
      <c r="C135" s="319"/>
      <c r="D135" s="126"/>
      <c r="E135" s="126"/>
      <c r="F135" s="126"/>
      <c r="G135" s="126"/>
      <c r="H135" s="126"/>
      <c r="I135" s="126"/>
      <c r="J135" s="126"/>
      <c r="K135" s="129"/>
      <c r="L135" s="126"/>
      <c r="M135" s="130"/>
      <c r="N135" s="128">
        <v>0</v>
      </c>
      <c r="O135" s="201">
        <f t="shared" ref="O135" si="22">SUM(O120:O134)</f>
        <v>0</v>
      </c>
      <c r="P135" s="201">
        <f t="shared" ref="P135" si="23">SUM(P120:P134)</f>
        <v>0</v>
      </c>
      <c r="Q135" s="128">
        <f t="shared" ref="Q135" si="24">SUM(Q120:Q134)</f>
        <v>0</v>
      </c>
      <c r="R135" s="128">
        <f t="shared" ref="R135" si="25">SUM(R120:R134)</f>
        <v>0</v>
      </c>
      <c r="S135" s="128">
        <f>SUM(S120:S134)</f>
        <v>0</v>
      </c>
      <c r="T135" s="184"/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4"/>
      <c r="AE135" s="184"/>
      <c r="AF135" s="184"/>
      <c r="AG135" s="184"/>
      <c r="AH135" s="184"/>
      <c r="AI135" s="184"/>
      <c r="AJ135" s="184"/>
      <c r="AK135" s="184"/>
      <c r="AL135" s="184"/>
      <c r="AM135" s="184"/>
      <c r="AN135" s="184"/>
      <c r="AO135" s="184"/>
    </row>
    <row r="136" spans="1:41" ht="11.45" hidden="1" x14ac:dyDescent="0.2">
      <c r="A136" s="270" t="s">
        <v>173</v>
      </c>
      <c r="B136" s="271"/>
      <c r="C136" s="271"/>
      <c r="D136" s="271"/>
      <c r="E136" s="271"/>
      <c r="F136" s="271"/>
      <c r="G136" s="271"/>
      <c r="H136" s="271"/>
      <c r="I136" s="271"/>
      <c r="J136" s="271"/>
      <c r="K136" s="271"/>
      <c r="L136" s="271"/>
      <c r="M136" s="272"/>
      <c r="N136" s="201">
        <v>0</v>
      </c>
      <c r="O136" s="122">
        <f t="shared" ref="O136:R136" si="26">IF($K120="IC of Above",O120,0)+IF($K121="IC of Above",O121,0)+IF($K122="IC of Above",O122,0)+IF($K123="IC of Above",O123,0)+IF($K124="IC of Above",O124,0)+IF($K125="IC of Above",O125,0)+IF($K126="IC of Above",O126,0)+IF($K127="IC of Above",O127,0)+IF($K128="IC of Above",O128,0)+IF($K129="IC of Above",O129,0)+IF($K130="IC of Above",O130,0)+IF($K131="IC of Above",O131,0)+IF($K132="IC of Above",O132,0)+IF($K133="IC of Above",O133,0)+IF($K134="IC of Above",O134,0)</f>
        <v>0</v>
      </c>
      <c r="P136" s="122">
        <f t="shared" si="26"/>
        <v>0</v>
      </c>
      <c r="Q136" s="122">
        <f t="shared" si="26"/>
        <v>0</v>
      </c>
      <c r="R136" s="122">
        <f t="shared" si="26"/>
        <v>0</v>
      </c>
      <c r="S136" s="122">
        <f>SUM(N136:R136)</f>
        <v>0</v>
      </c>
      <c r="T136" s="184"/>
      <c r="U136" s="184"/>
      <c r="V136" s="184"/>
      <c r="W136" s="184"/>
      <c r="X136" s="184"/>
      <c r="Y136" s="184"/>
      <c r="Z136" s="184"/>
      <c r="AA136" s="184"/>
      <c r="AB136" s="184"/>
      <c r="AC136" s="184"/>
      <c r="AD136" s="184"/>
      <c r="AE136" s="184"/>
      <c r="AF136" s="184"/>
      <c r="AG136" s="184"/>
      <c r="AH136" s="184"/>
      <c r="AI136" s="184"/>
      <c r="AJ136" s="184"/>
      <c r="AK136" s="184"/>
      <c r="AL136" s="184"/>
      <c r="AM136" s="184"/>
      <c r="AN136" s="184"/>
      <c r="AO136" s="184"/>
    </row>
    <row r="137" spans="1:41" hidden="1" x14ac:dyDescent="0.2">
      <c r="A137" s="204"/>
      <c r="B137" s="205"/>
      <c r="C137" s="205"/>
      <c r="D137" s="205"/>
      <c r="E137" s="205"/>
      <c r="F137" s="205"/>
      <c r="G137" s="205"/>
      <c r="H137" s="205"/>
      <c r="I137" s="205"/>
      <c r="J137" s="205"/>
      <c r="K137" s="205"/>
      <c r="L137" s="205"/>
      <c r="M137" s="205"/>
      <c r="N137" s="123"/>
      <c r="O137" s="123"/>
      <c r="P137" s="123"/>
      <c r="Q137" s="123"/>
      <c r="R137" s="123"/>
      <c r="S137" s="123"/>
      <c r="T137" s="184"/>
      <c r="U137" s="184"/>
      <c r="V137" s="184"/>
      <c r="W137" s="184"/>
      <c r="X137" s="184"/>
      <c r="Y137" s="184"/>
      <c r="Z137" s="184"/>
      <c r="AA137" s="184"/>
      <c r="AB137" s="184"/>
      <c r="AC137" s="184"/>
      <c r="AD137" s="184"/>
      <c r="AE137" s="184"/>
      <c r="AF137" s="184"/>
      <c r="AG137" s="184"/>
      <c r="AH137" s="184"/>
      <c r="AI137" s="184"/>
      <c r="AJ137" s="184"/>
      <c r="AK137" s="184"/>
      <c r="AL137" s="184"/>
      <c r="AM137" s="184"/>
      <c r="AN137" s="184"/>
      <c r="AO137" s="184"/>
    </row>
    <row r="138" spans="1:41" x14ac:dyDescent="0.2">
      <c r="A138" s="99" t="s">
        <v>70</v>
      </c>
      <c r="B138" s="100"/>
      <c r="C138" s="100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215"/>
      <c r="O138" s="102"/>
      <c r="P138" s="102"/>
      <c r="Q138" s="102"/>
      <c r="R138" s="102"/>
      <c r="S138" s="102" t="str">
        <f t="shared" ref="S138" si="27">S119</f>
        <v>Total</v>
      </c>
      <c r="T138" s="184"/>
      <c r="U138" s="184"/>
      <c r="V138" s="184"/>
      <c r="W138" s="184"/>
      <c r="X138" s="184"/>
      <c r="Y138" s="184"/>
      <c r="Z138" s="184"/>
      <c r="AA138" s="184"/>
      <c r="AB138" s="184"/>
      <c r="AC138" s="184"/>
      <c r="AD138" s="184"/>
      <c r="AE138" s="184"/>
      <c r="AF138" s="184"/>
      <c r="AG138" s="184"/>
      <c r="AH138" s="184"/>
      <c r="AI138" s="184"/>
      <c r="AJ138" s="184"/>
      <c r="AK138" s="184"/>
      <c r="AL138" s="184"/>
      <c r="AM138" s="184"/>
      <c r="AN138" s="184"/>
      <c r="AO138" s="184"/>
    </row>
    <row r="139" spans="1:41" ht="11.45" x14ac:dyDescent="0.2">
      <c r="A139" s="178"/>
      <c r="B139" s="159" t="s">
        <v>205</v>
      </c>
      <c r="C139" s="159"/>
      <c r="D139" s="159"/>
      <c r="E139" s="159"/>
      <c r="F139" s="159"/>
      <c r="G139" s="159"/>
      <c r="H139" s="159"/>
      <c r="I139" s="159"/>
      <c r="J139" s="159"/>
      <c r="K139" s="159"/>
      <c r="L139" s="159"/>
      <c r="M139" s="159"/>
      <c r="N139" s="170">
        <v>2200</v>
      </c>
      <c r="O139" s="170"/>
      <c r="P139" s="170"/>
      <c r="Q139" s="170"/>
      <c r="R139" s="170"/>
      <c r="S139" s="89">
        <f>SUM(N139:R139)</f>
        <v>2200</v>
      </c>
      <c r="T139" s="184"/>
      <c r="U139" s="184"/>
      <c r="V139" s="184"/>
      <c r="W139" s="184"/>
      <c r="X139" s="184"/>
      <c r="Y139" s="184"/>
      <c r="Z139" s="184"/>
      <c r="AA139" s="184"/>
      <c r="AB139" s="184"/>
      <c r="AC139" s="184"/>
      <c r="AD139" s="184"/>
      <c r="AE139" s="184"/>
      <c r="AF139" s="184"/>
      <c r="AG139" s="184"/>
      <c r="AH139" s="184"/>
      <c r="AI139" s="184"/>
      <c r="AJ139" s="184"/>
      <c r="AK139" s="184"/>
      <c r="AL139" s="184"/>
      <c r="AM139" s="184"/>
      <c r="AN139" s="184"/>
      <c r="AO139" s="184"/>
    </row>
    <row r="140" spans="1:41" ht="11.45" x14ac:dyDescent="0.2">
      <c r="A140" s="178"/>
      <c r="B140" s="159"/>
      <c r="C140" s="159"/>
      <c r="D140" s="159"/>
      <c r="E140" s="159"/>
      <c r="F140" s="159"/>
      <c r="G140" s="159"/>
      <c r="H140" s="159"/>
      <c r="I140" s="159"/>
      <c r="J140" s="159"/>
      <c r="K140" s="159"/>
      <c r="L140" s="159"/>
      <c r="M140" s="159"/>
      <c r="N140" s="170">
        <v>0</v>
      </c>
      <c r="O140" s="170"/>
      <c r="P140" s="170"/>
      <c r="Q140" s="170"/>
      <c r="R140" s="170"/>
      <c r="S140" s="89">
        <f t="shared" ref="S140:S144" si="28">SUM(N140:R140)</f>
        <v>0</v>
      </c>
      <c r="T140" s="184"/>
      <c r="U140" s="184"/>
      <c r="V140" s="184"/>
      <c r="W140" s="184"/>
      <c r="X140" s="184"/>
      <c r="Y140" s="184"/>
      <c r="Z140" s="184"/>
      <c r="AA140" s="184"/>
      <c r="AB140" s="184"/>
      <c r="AC140" s="184"/>
      <c r="AD140" s="184"/>
      <c r="AE140" s="184"/>
      <c r="AF140" s="184"/>
      <c r="AG140" s="184"/>
      <c r="AH140" s="184"/>
      <c r="AI140" s="184"/>
      <c r="AJ140" s="184"/>
      <c r="AK140" s="184"/>
      <c r="AL140" s="184"/>
      <c r="AM140" s="184"/>
      <c r="AN140" s="184"/>
      <c r="AO140" s="184"/>
    </row>
    <row r="141" spans="1:41" ht="11.45" x14ac:dyDescent="0.2">
      <c r="A141" s="178"/>
      <c r="B141" s="159"/>
      <c r="C141" s="159"/>
      <c r="D141" s="159"/>
      <c r="E141" s="159"/>
      <c r="F141" s="159"/>
      <c r="G141" s="159"/>
      <c r="H141" s="159"/>
      <c r="I141" s="159"/>
      <c r="J141" s="159"/>
      <c r="K141" s="159"/>
      <c r="L141" s="159"/>
      <c r="M141" s="159"/>
      <c r="N141" s="160">
        <v>0</v>
      </c>
      <c r="O141" s="160"/>
      <c r="P141" s="160"/>
      <c r="Q141" s="170"/>
      <c r="R141" s="170"/>
      <c r="S141" s="89">
        <f t="shared" si="28"/>
        <v>0</v>
      </c>
      <c r="T141" s="184"/>
      <c r="U141" s="184"/>
      <c r="V141" s="184"/>
      <c r="W141" s="184"/>
      <c r="X141" s="184"/>
      <c r="Y141" s="184"/>
      <c r="Z141" s="184"/>
      <c r="AA141" s="184"/>
      <c r="AB141" s="184"/>
      <c r="AC141" s="184"/>
      <c r="AD141" s="184"/>
      <c r="AE141" s="184"/>
      <c r="AF141" s="184"/>
      <c r="AG141" s="184"/>
      <c r="AH141" s="184"/>
      <c r="AI141" s="184"/>
      <c r="AJ141" s="184"/>
      <c r="AK141" s="184"/>
      <c r="AL141" s="184"/>
      <c r="AM141" s="184"/>
      <c r="AN141" s="184"/>
      <c r="AO141" s="184"/>
    </row>
    <row r="142" spans="1:41" ht="11.45" x14ac:dyDescent="0.2">
      <c r="A142" s="178"/>
      <c r="B142" s="159"/>
      <c r="C142" s="159"/>
      <c r="D142" s="159"/>
      <c r="E142" s="159"/>
      <c r="F142" s="159"/>
      <c r="G142" s="159"/>
      <c r="H142" s="159"/>
      <c r="I142" s="159"/>
      <c r="J142" s="159"/>
      <c r="K142" s="159"/>
      <c r="L142" s="159"/>
      <c r="M142" s="159"/>
      <c r="N142" s="160">
        <v>0</v>
      </c>
      <c r="O142" s="160"/>
      <c r="P142" s="160"/>
      <c r="Q142" s="170"/>
      <c r="R142" s="170"/>
      <c r="S142" s="89">
        <f t="shared" si="28"/>
        <v>0</v>
      </c>
      <c r="T142" s="184"/>
      <c r="U142" s="184"/>
      <c r="V142" s="184"/>
      <c r="W142" s="184"/>
      <c r="X142" s="184"/>
      <c r="Y142" s="184"/>
      <c r="Z142" s="184"/>
      <c r="AA142" s="184"/>
      <c r="AB142" s="184"/>
      <c r="AC142" s="184"/>
      <c r="AD142" s="184"/>
      <c r="AE142" s="184"/>
      <c r="AF142" s="184"/>
      <c r="AG142" s="184"/>
      <c r="AH142" s="184"/>
      <c r="AI142" s="184"/>
      <c r="AJ142" s="184"/>
      <c r="AK142" s="184"/>
      <c r="AL142" s="184"/>
      <c r="AM142" s="184"/>
      <c r="AN142" s="184"/>
      <c r="AO142" s="184"/>
    </row>
    <row r="143" spans="1:41" ht="11.45" x14ac:dyDescent="0.2">
      <c r="A143" s="178"/>
      <c r="B143" s="159"/>
      <c r="C143" s="159"/>
      <c r="D143" s="159"/>
      <c r="E143" s="159"/>
      <c r="F143" s="159"/>
      <c r="G143" s="159"/>
      <c r="H143" s="159"/>
      <c r="I143" s="159"/>
      <c r="J143" s="159"/>
      <c r="K143" s="159"/>
      <c r="L143" s="159"/>
      <c r="M143" s="159"/>
      <c r="N143" s="170">
        <v>0</v>
      </c>
      <c r="O143" s="170"/>
      <c r="P143" s="170"/>
      <c r="Q143" s="170"/>
      <c r="R143" s="170"/>
      <c r="S143" s="86">
        <f t="shared" si="28"/>
        <v>0</v>
      </c>
      <c r="T143" s="184"/>
      <c r="U143" s="184"/>
      <c r="V143" s="184"/>
      <c r="W143" s="184"/>
      <c r="X143" s="184"/>
      <c r="Y143" s="184"/>
      <c r="Z143" s="184"/>
      <c r="AA143" s="184"/>
      <c r="AB143" s="184"/>
      <c r="AC143" s="184"/>
      <c r="AD143" s="184"/>
      <c r="AE143" s="184"/>
      <c r="AF143" s="184"/>
      <c r="AG143" s="184"/>
      <c r="AH143" s="184"/>
      <c r="AI143" s="184"/>
      <c r="AJ143" s="184"/>
      <c r="AK143" s="184"/>
      <c r="AL143" s="184"/>
      <c r="AM143" s="184"/>
      <c r="AN143" s="184"/>
      <c r="AO143" s="184"/>
    </row>
    <row r="144" spans="1:41" ht="11.45" x14ac:dyDescent="0.2">
      <c r="A144" s="178"/>
      <c r="B144" s="159"/>
      <c r="C144" s="159"/>
      <c r="D144" s="159"/>
      <c r="E144" s="159"/>
      <c r="F144" s="159"/>
      <c r="G144" s="159"/>
      <c r="H144" s="159"/>
      <c r="I144" s="159"/>
      <c r="J144" s="159"/>
      <c r="K144" s="159"/>
      <c r="L144" s="159"/>
      <c r="M144" s="159"/>
      <c r="N144" s="170">
        <v>0</v>
      </c>
      <c r="O144" s="170"/>
      <c r="P144" s="170"/>
      <c r="Q144" s="170"/>
      <c r="R144" s="170"/>
      <c r="S144" s="86">
        <f t="shared" si="28"/>
        <v>0</v>
      </c>
      <c r="T144" s="184"/>
      <c r="U144" s="184"/>
      <c r="V144" s="184"/>
      <c r="W144" s="184"/>
      <c r="X144" s="184"/>
      <c r="Y144" s="184"/>
      <c r="Z144" s="184"/>
      <c r="AA144" s="184"/>
      <c r="AB144" s="184"/>
      <c r="AC144" s="184"/>
      <c r="AD144" s="184"/>
      <c r="AE144" s="184"/>
      <c r="AF144" s="184"/>
      <c r="AG144" s="184"/>
      <c r="AH144" s="184"/>
      <c r="AI144" s="184"/>
      <c r="AJ144" s="184"/>
      <c r="AK144" s="184"/>
      <c r="AL144" s="184"/>
      <c r="AM144" s="184"/>
      <c r="AN144" s="184"/>
      <c r="AO144" s="184"/>
    </row>
    <row r="145" spans="1:41" ht="11.45" x14ac:dyDescent="0.2">
      <c r="A145" s="131" t="s">
        <v>71</v>
      </c>
      <c r="B145" s="132"/>
      <c r="C145" s="132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33">
        <f>SUM(N139:N144)</f>
        <v>2200</v>
      </c>
      <c r="O145" s="133"/>
      <c r="P145" s="133"/>
      <c r="Q145" s="133">
        <f>SUM(Q139:Q144)</f>
        <v>0</v>
      </c>
      <c r="R145" s="133">
        <f>SUM(R139:R144)</f>
        <v>0</v>
      </c>
      <c r="S145" s="134">
        <f>SUM(S139:S144)</f>
        <v>2200</v>
      </c>
      <c r="T145" s="184"/>
      <c r="U145" s="184"/>
      <c r="V145" s="184"/>
      <c r="W145" s="184"/>
      <c r="X145" s="184"/>
      <c r="Y145" s="184"/>
      <c r="Z145" s="184"/>
      <c r="AA145" s="184"/>
      <c r="AB145" s="184"/>
      <c r="AC145" s="184"/>
      <c r="AD145" s="184"/>
      <c r="AE145" s="184"/>
      <c r="AF145" s="184"/>
      <c r="AG145" s="184"/>
      <c r="AH145" s="184"/>
      <c r="AI145" s="184"/>
      <c r="AJ145" s="184"/>
      <c r="AK145" s="184"/>
      <c r="AL145" s="184"/>
      <c r="AM145" s="184"/>
      <c r="AN145" s="184"/>
      <c r="AO145" s="184"/>
    </row>
    <row r="146" spans="1:41" ht="11.45" x14ac:dyDescent="0.2">
      <c r="A146" s="95" t="s">
        <v>72</v>
      </c>
      <c r="B146" s="96"/>
      <c r="C146" s="96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88">
        <f>SUM(N145+N135)</f>
        <v>2200</v>
      </c>
      <c r="O146" s="88">
        <f>O135+O145</f>
        <v>0</v>
      </c>
      <c r="P146" s="88">
        <f>P135+P145</f>
        <v>0</v>
      </c>
      <c r="Q146" s="88">
        <f>Q135+Q145</f>
        <v>0</v>
      </c>
      <c r="R146" s="88">
        <f>R135+R145</f>
        <v>0</v>
      </c>
      <c r="S146" s="90">
        <f>S135+S145</f>
        <v>2200</v>
      </c>
      <c r="T146" s="184"/>
      <c r="U146" s="184"/>
      <c r="V146" s="184"/>
      <c r="W146" s="184"/>
      <c r="X146" s="184"/>
      <c r="Y146" s="184"/>
      <c r="Z146" s="184"/>
      <c r="AA146" s="184"/>
      <c r="AB146" s="184"/>
      <c r="AC146" s="184"/>
      <c r="AD146" s="184"/>
      <c r="AE146" s="184"/>
      <c r="AF146" s="184"/>
      <c r="AG146" s="184"/>
      <c r="AH146" s="184"/>
      <c r="AI146" s="184"/>
      <c r="AJ146" s="184"/>
      <c r="AK146" s="184"/>
      <c r="AL146" s="184"/>
      <c r="AM146" s="184"/>
      <c r="AN146" s="184"/>
      <c r="AO146" s="184"/>
    </row>
    <row r="147" spans="1:41" ht="11.45" x14ac:dyDescent="0.2">
      <c r="T147" s="184"/>
      <c r="U147" s="184"/>
      <c r="V147" s="184"/>
      <c r="W147" s="184"/>
      <c r="X147" s="184"/>
      <c r="Y147" s="184"/>
      <c r="Z147" s="184"/>
      <c r="AA147" s="184"/>
      <c r="AB147" s="184"/>
      <c r="AC147" s="184"/>
      <c r="AD147" s="184"/>
      <c r="AE147" s="184"/>
      <c r="AF147" s="184"/>
      <c r="AG147" s="184"/>
      <c r="AH147" s="184"/>
      <c r="AI147" s="184"/>
      <c r="AJ147" s="184"/>
      <c r="AK147" s="184"/>
      <c r="AL147" s="184"/>
      <c r="AM147" s="184"/>
      <c r="AN147" s="184"/>
      <c r="AO147" s="184"/>
    </row>
    <row r="148" spans="1:41" ht="11.45" hidden="1" x14ac:dyDescent="0.2">
      <c r="A148" s="311" t="s">
        <v>73</v>
      </c>
      <c r="B148" s="312"/>
      <c r="C148" s="312"/>
      <c r="D148" s="49"/>
      <c r="E148" s="49"/>
      <c r="F148" s="49"/>
      <c r="G148" s="49"/>
      <c r="H148" s="49"/>
      <c r="I148" s="49"/>
      <c r="J148" s="49"/>
      <c r="K148" s="49"/>
      <c r="L148" s="49"/>
      <c r="M148" s="57"/>
      <c r="N148" s="102" t="s">
        <v>129</v>
      </c>
      <c r="O148" s="102" t="s">
        <v>130</v>
      </c>
      <c r="P148" s="102" t="s">
        <v>131</v>
      </c>
      <c r="Q148" s="102" t="s">
        <v>134</v>
      </c>
      <c r="R148" s="102" t="s">
        <v>132</v>
      </c>
      <c r="S148" s="102" t="s">
        <v>12</v>
      </c>
      <c r="T148" s="184"/>
      <c r="U148" s="184"/>
      <c r="V148" s="184"/>
      <c r="W148" s="184"/>
      <c r="X148" s="184"/>
      <c r="Y148" s="184"/>
      <c r="Z148" s="184"/>
      <c r="AA148" s="184"/>
      <c r="AB148" s="184"/>
      <c r="AC148" s="184"/>
      <c r="AD148" s="184"/>
      <c r="AE148" s="184"/>
      <c r="AF148" s="184"/>
      <c r="AG148" s="184"/>
      <c r="AH148" s="184"/>
      <c r="AI148" s="184"/>
      <c r="AJ148" s="184"/>
      <c r="AK148" s="184"/>
      <c r="AL148" s="184"/>
      <c r="AM148" s="184"/>
      <c r="AN148" s="184"/>
      <c r="AO148" s="184"/>
    </row>
    <row r="149" spans="1:41" ht="11.45" hidden="1" x14ac:dyDescent="0.2">
      <c r="A149" s="58" t="s">
        <v>76</v>
      </c>
      <c r="B149" s="83"/>
      <c r="C149" s="83"/>
      <c r="D149" s="115" t="s">
        <v>154</v>
      </c>
      <c r="E149" s="59"/>
      <c r="F149" s="116" t="s">
        <v>128</v>
      </c>
      <c r="G149" s="49"/>
      <c r="H149" s="49"/>
      <c r="I149" s="50" t="s">
        <v>147</v>
      </c>
      <c r="J149" s="50" t="s">
        <v>148</v>
      </c>
      <c r="K149" s="50" t="s">
        <v>149</v>
      </c>
      <c r="L149" s="50" t="s">
        <v>150</v>
      </c>
      <c r="M149" s="50" t="s">
        <v>151</v>
      </c>
      <c r="N149" s="70" t="s">
        <v>77</v>
      </c>
      <c r="O149" s="54"/>
      <c r="P149" s="54"/>
      <c r="Q149" s="54"/>
      <c r="R149" s="54"/>
      <c r="S149" s="56"/>
      <c r="T149" s="184"/>
      <c r="U149" s="184"/>
      <c r="V149" s="184"/>
      <c r="W149" s="184"/>
      <c r="X149" s="184"/>
      <c r="Y149" s="184"/>
      <c r="Z149" s="184"/>
      <c r="AA149" s="184"/>
      <c r="AB149" s="184"/>
      <c r="AC149" s="184"/>
      <c r="AD149" s="184"/>
      <c r="AE149" s="184"/>
      <c r="AF149" s="184"/>
      <c r="AG149" s="184"/>
      <c r="AH149" s="184"/>
      <c r="AI149" s="184"/>
      <c r="AJ149" s="184"/>
      <c r="AK149" s="184"/>
      <c r="AL149" s="184"/>
      <c r="AM149" s="184"/>
      <c r="AN149" s="184"/>
      <c r="AO149" s="184"/>
    </row>
    <row r="150" spans="1:41" ht="11.45" hidden="1" x14ac:dyDescent="0.2">
      <c r="A150" s="308" t="s">
        <v>153</v>
      </c>
      <c r="B150" s="309"/>
      <c r="C150" s="310"/>
      <c r="D150" s="306" t="s">
        <v>167</v>
      </c>
      <c r="E150" s="307"/>
      <c r="F150" s="165" t="s">
        <v>182</v>
      </c>
      <c r="G150" s="313" t="s">
        <v>155</v>
      </c>
      <c r="H150" s="314"/>
      <c r="I150" s="166" t="s">
        <v>152</v>
      </c>
      <c r="J150" s="166" t="s">
        <v>152</v>
      </c>
      <c r="K150" s="166" t="s">
        <v>152</v>
      </c>
      <c r="L150" s="166" t="s">
        <v>152</v>
      </c>
      <c r="M150" s="166" t="s">
        <v>152</v>
      </c>
      <c r="N150" s="138">
        <f>SUM(N151:N162)</f>
        <v>0</v>
      </c>
      <c r="O150" s="138">
        <f t="shared" ref="O150:R150" si="29">SUM(O151:O162)</f>
        <v>0</v>
      </c>
      <c r="P150" s="138">
        <f t="shared" si="29"/>
        <v>0</v>
      </c>
      <c r="Q150" s="138">
        <f>SUM(Q151:Q162)</f>
        <v>0</v>
      </c>
      <c r="R150" s="138">
        <f t="shared" si="29"/>
        <v>0</v>
      </c>
      <c r="S150" s="139">
        <f>SUM(N150:R150)</f>
        <v>0</v>
      </c>
      <c r="T150" s="184"/>
      <c r="U150" s="184"/>
      <c r="V150" s="184"/>
      <c r="W150" s="184"/>
      <c r="X150" s="184"/>
      <c r="Y150" s="184"/>
      <c r="Z150" s="184"/>
      <c r="AA150" s="184"/>
      <c r="AB150" s="184"/>
      <c r="AC150" s="184"/>
      <c r="AD150" s="184"/>
      <c r="AE150" s="184"/>
      <c r="AF150" s="184"/>
      <c r="AG150" s="184"/>
      <c r="AH150" s="184"/>
      <c r="AI150" s="184"/>
      <c r="AJ150" s="184"/>
      <c r="AK150" s="184"/>
      <c r="AL150" s="184"/>
      <c r="AM150" s="184"/>
      <c r="AN150" s="184"/>
      <c r="AO150" s="184"/>
    </row>
    <row r="151" spans="1:41" ht="11.45" hidden="1" x14ac:dyDescent="0.2">
      <c r="A151" s="268"/>
      <c r="B151" s="273"/>
      <c r="C151" s="269"/>
      <c r="D151" s="268" t="s">
        <v>74</v>
      </c>
      <c r="E151" s="269"/>
      <c r="F151" s="163">
        <v>0.1</v>
      </c>
      <c r="G151" s="245">
        <v>17587</v>
      </c>
      <c r="H151" s="246"/>
      <c r="I151" s="164"/>
      <c r="J151" s="164"/>
      <c r="K151" s="164"/>
      <c r="L151" s="164"/>
      <c r="M151" s="164"/>
      <c r="N151" s="63">
        <f>IF(I$150="#GSRs",ROUND((Worksheet!K162*I151)/3*Worksheet!C$30,0),ROUND(Request!I151/3*Worksheet!K162,0))</f>
        <v>0</v>
      </c>
      <c r="O151" s="63">
        <f>IF(J$150="#GSRs",ROUND((Worksheet!L162*J151)/3*Worksheet!D$30,0),ROUND(Request!J151/3*Worksheet!L162,0))</f>
        <v>0</v>
      </c>
      <c r="P151" s="63">
        <f>IF(K$150="#GSRs",ROUND((Worksheet!M162*K151)/3*Worksheet!E$30,0),ROUND(Request!K151/3*Worksheet!M162,0))</f>
        <v>0</v>
      </c>
      <c r="Q151" s="63">
        <f>IF(L$150="#GSRs",ROUND((Worksheet!N162*L151)/3*Worksheet!F$30,0),ROUND(Request!L151/3*Worksheet!N162,0))</f>
        <v>0</v>
      </c>
      <c r="R151" s="63">
        <f>IF(M$150="#GSRs",ROUND((Worksheet!O162*M151)/3*Worksheet!G$30,0),ROUND(Request!M151/3*Worksheet!O162,0))</f>
        <v>0</v>
      </c>
      <c r="S151" s="63">
        <f>SUM(N151:R151)</f>
        <v>0</v>
      </c>
      <c r="T151" s="191"/>
      <c r="U151" s="184"/>
      <c r="V151" s="184"/>
      <c r="W151" s="184"/>
      <c r="X151" s="184"/>
      <c r="Y151" s="184"/>
      <c r="Z151" s="184"/>
      <c r="AA151" s="184"/>
      <c r="AB151" s="184"/>
      <c r="AC151" s="184"/>
      <c r="AD151" s="184"/>
      <c r="AE151" s="184"/>
      <c r="AF151" s="184"/>
      <c r="AG151" s="184"/>
      <c r="AH151" s="184"/>
      <c r="AI151" s="184"/>
      <c r="AJ151" s="184"/>
      <c r="AK151" s="184"/>
      <c r="AL151" s="184"/>
      <c r="AM151" s="184"/>
      <c r="AN151" s="184"/>
      <c r="AO151" s="184"/>
    </row>
    <row r="152" spans="1:41" ht="11.45" hidden="1" x14ac:dyDescent="0.2">
      <c r="A152" s="268"/>
      <c r="B152" s="273"/>
      <c r="C152" s="269"/>
      <c r="D152" s="268" t="s">
        <v>74</v>
      </c>
      <c r="E152" s="269"/>
      <c r="F152" s="163">
        <v>0.1</v>
      </c>
      <c r="G152" s="245">
        <v>17587</v>
      </c>
      <c r="H152" s="246"/>
      <c r="I152" s="164"/>
      <c r="J152" s="164"/>
      <c r="K152" s="164"/>
      <c r="L152" s="164"/>
      <c r="M152" s="164"/>
      <c r="N152" s="63">
        <f>IF(I$150="#GSRs",ROUND((Worksheet!K163*I152)/3*Worksheet!C$30,0),ROUND(Request!I152/3*Worksheet!K163,0))</f>
        <v>0</v>
      </c>
      <c r="O152" s="63">
        <f>IF(J$150="#GSRs",ROUND((Worksheet!L163*J152)/3*Worksheet!D$30,0),ROUND(Request!J152/3*Worksheet!L163,0))</f>
        <v>0</v>
      </c>
      <c r="P152" s="63">
        <f>IF(K$150="#GSRs",ROUND((Worksheet!M163*K152)/3*Worksheet!E$30,0),ROUND(Request!K152/3*Worksheet!M163,0))</f>
        <v>0</v>
      </c>
      <c r="Q152" s="63">
        <f>IF(L$150="#GSRs",ROUND((Worksheet!N163*L152)/3*Worksheet!F$30,0),ROUND(Request!L152/3*Worksheet!N163,0))</f>
        <v>0</v>
      </c>
      <c r="R152" s="63">
        <f>IF(M$150="#GSRs",ROUND((Worksheet!O163*M152)/3*Worksheet!G$30,0),ROUND(Request!M152/3*Worksheet!O163,0))</f>
        <v>0</v>
      </c>
      <c r="S152" s="63">
        <f t="shared" ref="S152" si="30">SUM(N152:R152)</f>
        <v>0</v>
      </c>
      <c r="T152" s="191"/>
      <c r="U152" s="184"/>
      <c r="V152" s="184"/>
      <c r="W152" s="184"/>
      <c r="X152" s="184"/>
      <c r="Y152" s="184"/>
      <c r="Z152" s="184"/>
      <c r="AA152" s="184"/>
      <c r="AB152" s="184"/>
      <c r="AC152" s="184"/>
      <c r="AD152" s="184"/>
      <c r="AE152" s="184"/>
      <c r="AF152" s="184"/>
      <c r="AG152" s="184"/>
      <c r="AH152" s="184"/>
      <c r="AI152" s="184"/>
      <c r="AJ152" s="184"/>
      <c r="AK152" s="184"/>
      <c r="AL152" s="184"/>
      <c r="AM152" s="184"/>
      <c r="AN152" s="184"/>
      <c r="AO152" s="184"/>
    </row>
    <row r="153" spans="1:41" ht="11.45" hidden="1" x14ac:dyDescent="0.2">
      <c r="A153" s="268"/>
      <c r="B153" s="273"/>
      <c r="C153" s="269"/>
      <c r="D153" s="268" t="s">
        <v>75</v>
      </c>
      <c r="E153" s="269"/>
      <c r="F153" s="163">
        <v>0.1</v>
      </c>
      <c r="G153" s="245">
        <v>32689</v>
      </c>
      <c r="H153" s="246"/>
      <c r="I153" s="164"/>
      <c r="J153" s="164"/>
      <c r="K153" s="164"/>
      <c r="L153" s="164"/>
      <c r="M153" s="164"/>
      <c r="N153" s="63">
        <f>IF(I$150="#GSRs",ROUND((Worksheet!K164*I153)/3*Worksheet!C$30,0),ROUND(Request!I153/3*Worksheet!K164,0))</f>
        <v>0</v>
      </c>
      <c r="O153" s="63">
        <f>IF(J$150="#GSRs",ROUND((Worksheet!L164*J153)/3*Worksheet!D$30,0),ROUND(Request!J153/3*Worksheet!L164,0))</f>
        <v>0</v>
      </c>
      <c r="P153" s="63">
        <f>IF(K$150="#GSRs",ROUND((Worksheet!M164*K153)/3*Worksheet!E$30,0),ROUND(Request!K153/3*Worksheet!M164,0))</f>
        <v>0</v>
      </c>
      <c r="Q153" s="63">
        <f>IF(L$150="#GSRs",ROUND((Worksheet!N164*L153)/3*Worksheet!F$30,0),ROUND(Request!L153/3*Worksheet!N164,0))</f>
        <v>0</v>
      </c>
      <c r="R153" s="63">
        <f>IF(M$150="#GSRs",ROUND((Worksheet!O164*M153)/3*Worksheet!G$30,0),ROUND(Request!M153/3*Worksheet!O164,0))</f>
        <v>0</v>
      </c>
      <c r="S153" s="63">
        <f>SUM(N153:R153)</f>
        <v>0</v>
      </c>
      <c r="T153" s="191"/>
      <c r="U153" s="184"/>
      <c r="V153" s="184"/>
      <c r="W153" s="184"/>
      <c r="X153" s="184"/>
      <c r="Y153" s="184"/>
      <c r="Z153" s="184"/>
      <c r="AA153" s="184"/>
      <c r="AB153" s="184"/>
      <c r="AC153" s="184"/>
      <c r="AD153" s="184"/>
      <c r="AE153" s="184"/>
      <c r="AF153" s="184"/>
      <c r="AG153" s="184"/>
      <c r="AH153" s="184"/>
      <c r="AI153" s="184"/>
      <c r="AJ153" s="184"/>
      <c r="AK153" s="184"/>
      <c r="AL153" s="184"/>
      <c r="AM153" s="184"/>
      <c r="AN153" s="184"/>
      <c r="AO153" s="184"/>
    </row>
    <row r="154" spans="1:41" ht="11.45" hidden="1" x14ac:dyDescent="0.2">
      <c r="A154" s="268"/>
      <c r="B154" s="273"/>
      <c r="C154" s="269"/>
      <c r="D154" s="268" t="s">
        <v>74</v>
      </c>
      <c r="E154" s="269"/>
      <c r="F154" s="163">
        <v>0.1</v>
      </c>
      <c r="G154" s="245">
        <v>17587</v>
      </c>
      <c r="H154" s="246"/>
      <c r="I154" s="164"/>
      <c r="J154" s="164"/>
      <c r="K154" s="164"/>
      <c r="L154" s="164"/>
      <c r="M154" s="164"/>
      <c r="N154" s="63">
        <f>IF(I$150="#GSRs",ROUND((Worksheet!K165*I154)/3*Worksheet!C$30,0),ROUND(Request!I154/3*Worksheet!K165,0))</f>
        <v>0</v>
      </c>
      <c r="O154" s="63">
        <f>IF(J$150="#GSRs",ROUND((Worksheet!L165*J154)/3*Worksheet!D$30,0),ROUND(Request!J154/3*Worksheet!L165,0))</f>
        <v>0</v>
      </c>
      <c r="P154" s="63">
        <f>IF(K$150="#GSRs",ROUND((Worksheet!M165*K154)/3*Worksheet!E$30,0),ROUND(Request!K154/3*Worksheet!M165,0))</f>
        <v>0</v>
      </c>
      <c r="Q154" s="63">
        <f>IF(L$150="#GSRs",ROUND((Worksheet!N165*L154)/3*Worksheet!F$30,0),ROUND(Request!L154/3*Worksheet!N165,0))</f>
        <v>0</v>
      </c>
      <c r="R154" s="63">
        <f>IF(M$150="#GSRs",ROUND((Worksheet!O165*M154)/3*Worksheet!G$30,0),ROUND(Request!M154/3*Worksheet!O165,0))</f>
        <v>0</v>
      </c>
      <c r="S154" s="63">
        <f t="shared" ref="S154:S162" si="31">SUM(N154:R154)</f>
        <v>0</v>
      </c>
      <c r="T154" s="191"/>
      <c r="U154" s="184"/>
      <c r="V154" s="184"/>
      <c r="W154" s="184"/>
      <c r="X154" s="184"/>
      <c r="Y154" s="184"/>
      <c r="Z154" s="184"/>
      <c r="AA154" s="184"/>
      <c r="AB154" s="184"/>
      <c r="AC154" s="184"/>
      <c r="AD154" s="184"/>
      <c r="AE154" s="184"/>
      <c r="AF154" s="184"/>
      <c r="AG154" s="184"/>
      <c r="AH154" s="184"/>
      <c r="AI154" s="184"/>
      <c r="AJ154" s="184"/>
      <c r="AK154" s="184"/>
      <c r="AL154" s="184"/>
      <c r="AM154" s="184"/>
      <c r="AN154" s="184"/>
      <c r="AO154" s="184"/>
    </row>
    <row r="155" spans="1:41" ht="11.45" hidden="1" x14ac:dyDescent="0.2">
      <c r="A155" s="268"/>
      <c r="B155" s="273"/>
      <c r="C155" s="269"/>
      <c r="D155" s="268" t="s">
        <v>74</v>
      </c>
      <c r="E155" s="269"/>
      <c r="F155" s="163">
        <v>0.1</v>
      </c>
      <c r="G155" s="245">
        <v>17587</v>
      </c>
      <c r="H155" s="246"/>
      <c r="I155" s="164"/>
      <c r="J155" s="164"/>
      <c r="K155" s="164"/>
      <c r="L155" s="164"/>
      <c r="M155" s="164"/>
      <c r="N155" s="63">
        <f>IF(I$150="#GSRs",ROUND((Worksheet!K166*I155)/3*Worksheet!C$30,0),ROUND(Request!I155/3*Worksheet!K166,0))</f>
        <v>0</v>
      </c>
      <c r="O155" s="63">
        <f>IF(J$150="#GSRs",ROUND((Worksheet!L166*J155)/3*Worksheet!D$30,0),ROUND(Request!J155/3*Worksheet!L166,0))</f>
        <v>0</v>
      </c>
      <c r="P155" s="63">
        <f>IF(K$150="#GSRs",ROUND((Worksheet!M166*K155)/3*Worksheet!E$30,0),ROUND(Request!K155/3*Worksheet!M166,0))</f>
        <v>0</v>
      </c>
      <c r="Q155" s="63">
        <f>IF(L$150="#GSRs",ROUND((Worksheet!N166*L155)/3*Worksheet!F$30,0),ROUND(Request!L155/3*Worksheet!N166,0))</f>
        <v>0</v>
      </c>
      <c r="R155" s="63">
        <f>IF(M$150="#GSRs",ROUND((Worksheet!O166*M155)/3*Worksheet!G$30,0),ROUND(Request!M155/3*Worksheet!O166,0))</f>
        <v>0</v>
      </c>
      <c r="S155" s="63">
        <f t="shared" si="31"/>
        <v>0</v>
      </c>
      <c r="T155" s="191"/>
      <c r="U155" s="184"/>
      <c r="V155" s="184"/>
      <c r="W155" s="184"/>
      <c r="X155" s="184"/>
      <c r="Y155" s="184"/>
      <c r="Z155" s="184"/>
      <c r="AA155" s="184"/>
      <c r="AB155" s="184"/>
      <c r="AC155" s="184"/>
      <c r="AD155" s="184"/>
      <c r="AE155" s="184"/>
      <c r="AF155" s="184"/>
      <c r="AG155" s="184"/>
      <c r="AH155" s="184"/>
      <c r="AI155" s="184"/>
      <c r="AJ155" s="184"/>
      <c r="AK155" s="184"/>
      <c r="AL155" s="184"/>
      <c r="AM155" s="184"/>
      <c r="AN155" s="184"/>
      <c r="AO155" s="184"/>
    </row>
    <row r="156" spans="1:41" ht="11.45" hidden="1" x14ac:dyDescent="0.2">
      <c r="A156" s="268"/>
      <c r="B156" s="273"/>
      <c r="C156" s="269"/>
      <c r="D156" s="268" t="s">
        <v>74</v>
      </c>
      <c r="E156" s="269"/>
      <c r="F156" s="163">
        <v>0.1</v>
      </c>
      <c r="G156" s="245">
        <v>17587</v>
      </c>
      <c r="H156" s="246"/>
      <c r="I156" s="164"/>
      <c r="J156" s="164"/>
      <c r="K156" s="164"/>
      <c r="L156" s="164"/>
      <c r="M156" s="164"/>
      <c r="N156" s="63">
        <f>IF(I$150="#GSRs",ROUND((Worksheet!K167*I156)/3*Worksheet!C$30,0),ROUND(Request!I156/3*Worksheet!K167,0))</f>
        <v>0</v>
      </c>
      <c r="O156" s="63">
        <f>IF(J$150="#GSRs",ROUND((Worksheet!L167*J156)/3*Worksheet!D$30,0),ROUND(Request!J156/3*Worksheet!L167,0))</f>
        <v>0</v>
      </c>
      <c r="P156" s="63">
        <f>IF(K$150="#GSRs",ROUND((Worksheet!M167*K156)/3*Worksheet!E$30,0),ROUND(Request!K156/3*Worksheet!M167,0))</f>
        <v>0</v>
      </c>
      <c r="Q156" s="63">
        <f>IF(L$150="#GSRs",ROUND((Worksheet!N167*L156)/3*Worksheet!F$30,0),ROUND(Request!L156/3*Worksheet!N167,0))</f>
        <v>0</v>
      </c>
      <c r="R156" s="63">
        <f>IF(M$150="#GSRs",ROUND((Worksheet!O167*M156)/3*Worksheet!G$30,0),ROUND(Request!M156/3*Worksheet!O167,0))</f>
        <v>0</v>
      </c>
      <c r="S156" s="63">
        <f t="shared" si="31"/>
        <v>0</v>
      </c>
      <c r="T156" s="191"/>
      <c r="U156" s="184"/>
      <c r="V156" s="184"/>
      <c r="W156" s="184"/>
      <c r="X156" s="184"/>
      <c r="Y156" s="184"/>
      <c r="Z156" s="184"/>
      <c r="AA156" s="184"/>
      <c r="AB156" s="184"/>
      <c r="AC156" s="184"/>
      <c r="AD156" s="184"/>
      <c r="AE156" s="184"/>
      <c r="AF156" s="184"/>
      <c r="AG156" s="184"/>
      <c r="AH156" s="184"/>
      <c r="AI156" s="184"/>
      <c r="AJ156" s="184"/>
      <c r="AK156" s="184"/>
      <c r="AL156" s="184"/>
      <c r="AM156" s="184"/>
      <c r="AN156" s="184"/>
      <c r="AO156" s="184"/>
    </row>
    <row r="157" spans="1:41" ht="11.45" hidden="1" x14ac:dyDescent="0.2">
      <c r="A157" s="268"/>
      <c r="B157" s="273"/>
      <c r="C157" s="269"/>
      <c r="D157" s="268" t="s">
        <v>74</v>
      </c>
      <c r="E157" s="269"/>
      <c r="F157" s="163">
        <v>0.1</v>
      </c>
      <c r="G157" s="245">
        <v>17587</v>
      </c>
      <c r="H157" s="246"/>
      <c r="I157" s="164"/>
      <c r="J157" s="164"/>
      <c r="K157" s="164"/>
      <c r="L157" s="164"/>
      <c r="M157" s="164"/>
      <c r="N157" s="63">
        <f>IF(I$150="#GSRs",ROUND((Worksheet!K168*I157)/3*Worksheet!C$30,0),ROUND(Request!I157/3*Worksheet!K168,0))</f>
        <v>0</v>
      </c>
      <c r="O157" s="63">
        <f>IF(J$150="#GSRs",ROUND((Worksheet!L168*J157)/3*Worksheet!D$30,0),ROUND(Request!J157/3*Worksheet!L168,0))</f>
        <v>0</v>
      </c>
      <c r="P157" s="63">
        <f>IF(K$150="#GSRs",ROUND((Worksheet!M168*K157)/3*Worksheet!E$30,0),ROUND(Request!K157/3*Worksheet!M168,0))</f>
        <v>0</v>
      </c>
      <c r="Q157" s="63">
        <f>IF(L$150="#GSRs",ROUND((Worksheet!N168*L157)/3*Worksheet!F$30,0),ROUND(Request!L157/3*Worksheet!N168,0))</f>
        <v>0</v>
      </c>
      <c r="R157" s="63">
        <f>IF(M$150="#GSRs",ROUND((Worksheet!O168*M157)/3*Worksheet!G$30,0),ROUND(Request!M157/3*Worksheet!O168,0))</f>
        <v>0</v>
      </c>
      <c r="S157" s="63">
        <f t="shared" si="31"/>
        <v>0</v>
      </c>
      <c r="T157" s="191"/>
      <c r="U157" s="184"/>
      <c r="V157" s="184"/>
      <c r="W157" s="184"/>
      <c r="X157" s="184"/>
      <c r="Y157" s="184"/>
      <c r="Z157" s="184"/>
      <c r="AA157" s="184"/>
      <c r="AB157" s="184"/>
      <c r="AC157" s="184"/>
      <c r="AD157" s="184"/>
      <c r="AE157" s="184"/>
      <c r="AF157" s="184"/>
      <c r="AG157" s="184"/>
      <c r="AH157" s="184"/>
      <c r="AI157" s="184"/>
      <c r="AJ157" s="184"/>
      <c r="AK157" s="184"/>
      <c r="AL157" s="184"/>
      <c r="AM157" s="184"/>
      <c r="AN157" s="184"/>
      <c r="AO157" s="184"/>
    </row>
    <row r="158" spans="1:41" ht="10.9" hidden="1" customHeight="1" x14ac:dyDescent="0.2">
      <c r="A158" s="268"/>
      <c r="B158" s="273"/>
      <c r="C158" s="269"/>
      <c r="D158" s="268" t="s">
        <v>74</v>
      </c>
      <c r="E158" s="269"/>
      <c r="F158" s="163">
        <v>0.1</v>
      </c>
      <c r="G158" s="245">
        <v>17587</v>
      </c>
      <c r="H158" s="246"/>
      <c r="I158" s="164"/>
      <c r="J158" s="164"/>
      <c r="K158" s="164"/>
      <c r="L158" s="164"/>
      <c r="M158" s="164"/>
      <c r="N158" s="63">
        <f>IF(I$150="#GSRs",ROUND((Worksheet!K169*I158)/3*Worksheet!C$30,0),ROUND(Request!I158/3*Worksheet!K169,0))</f>
        <v>0</v>
      </c>
      <c r="O158" s="63">
        <f>IF(J$150="#GSRs",ROUND((Worksheet!L169*J158)/3*Worksheet!D$30,0),ROUND(Request!J158/3*Worksheet!L169,0))</f>
        <v>0</v>
      </c>
      <c r="P158" s="63">
        <f>IF(K$150="#GSRs",ROUND((Worksheet!M169*K158)/3*Worksheet!E$30,0),ROUND(Request!K158/3*Worksheet!M169,0))</f>
        <v>0</v>
      </c>
      <c r="Q158" s="63">
        <f>IF(L$150="#GSRs",ROUND((Worksheet!N169*L158)/3*Worksheet!F$30,0),ROUND(Request!L158/3*Worksheet!N169,0))</f>
        <v>0</v>
      </c>
      <c r="R158" s="63">
        <f>IF(M$150="#GSRs",ROUND((Worksheet!O169*M158)/3*Worksheet!G$30,0),ROUND(Request!M158/3*Worksheet!O169,0))</f>
        <v>0</v>
      </c>
      <c r="S158" s="63">
        <f t="shared" si="31"/>
        <v>0</v>
      </c>
      <c r="T158" s="191"/>
      <c r="U158" s="184"/>
      <c r="V158" s="184"/>
      <c r="W158" s="184"/>
      <c r="X158" s="184"/>
      <c r="Y158" s="184"/>
      <c r="Z158" s="184"/>
      <c r="AA158" s="184"/>
      <c r="AB158" s="184"/>
      <c r="AC158" s="184"/>
      <c r="AD158" s="184"/>
      <c r="AE158" s="184"/>
      <c r="AF158" s="184"/>
      <c r="AG158" s="184"/>
      <c r="AH158" s="184"/>
      <c r="AI158" s="184"/>
      <c r="AJ158" s="184"/>
      <c r="AK158" s="184"/>
      <c r="AL158" s="184"/>
      <c r="AM158" s="184"/>
      <c r="AN158" s="184"/>
      <c r="AO158" s="184"/>
    </row>
    <row r="159" spans="1:41" ht="11.45" hidden="1" x14ac:dyDescent="0.2">
      <c r="A159" s="268"/>
      <c r="B159" s="273"/>
      <c r="C159" s="269"/>
      <c r="D159" s="268" t="s">
        <v>74</v>
      </c>
      <c r="E159" s="269"/>
      <c r="F159" s="163">
        <v>0.1</v>
      </c>
      <c r="G159" s="245">
        <v>17587</v>
      </c>
      <c r="H159" s="246"/>
      <c r="I159" s="164"/>
      <c r="J159" s="164"/>
      <c r="K159" s="164"/>
      <c r="L159" s="164"/>
      <c r="M159" s="164"/>
      <c r="N159" s="63">
        <f>IF(I$150="#GSRs",ROUND((Worksheet!K170*I159)/3*Worksheet!C$30,0),ROUND(Request!I159/3*Worksheet!K170,0))</f>
        <v>0</v>
      </c>
      <c r="O159" s="63">
        <f>IF(J$150="#GSRs",ROUND((Worksheet!L170*J159)/3*Worksheet!D$30,0),ROUND(Request!J159/3*Worksheet!L170,0))</f>
        <v>0</v>
      </c>
      <c r="P159" s="63">
        <f>IF(K$150="#GSRs",ROUND((Worksheet!M170*K159)/3*Worksheet!E$30,0),ROUND(Request!K159/3*Worksheet!M170,0))</f>
        <v>0</v>
      </c>
      <c r="Q159" s="63">
        <f>IF(L$150="#GSRs",ROUND((Worksheet!N170*L159)/3*Worksheet!F$30,0),ROUND(Request!L159/3*Worksheet!N170,0))</f>
        <v>0</v>
      </c>
      <c r="R159" s="63">
        <f>IF(M$150="#GSRs",ROUND((Worksheet!O170*M159)/3*Worksheet!G$30,0),ROUND(Request!M159/3*Worksheet!O170,0))</f>
        <v>0</v>
      </c>
      <c r="S159" s="63">
        <f t="shared" si="31"/>
        <v>0</v>
      </c>
      <c r="T159" s="191"/>
      <c r="U159" s="184"/>
      <c r="V159" s="184"/>
      <c r="W159" s="184"/>
      <c r="X159" s="184"/>
      <c r="Y159" s="184"/>
      <c r="Z159" s="184"/>
      <c r="AA159" s="184"/>
      <c r="AB159" s="184"/>
      <c r="AC159" s="184"/>
      <c r="AD159" s="184"/>
      <c r="AE159" s="184"/>
      <c r="AF159" s="184"/>
      <c r="AG159" s="184"/>
      <c r="AH159" s="184"/>
      <c r="AI159" s="184"/>
      <c r="AJ159" s="184"/>
      <c r="AK159" s="184"/>
      <c r="AL159" s="184"/>
      <c r="AM159" s="184"/>
      <c r="AN159" s="184"/>
      <c r="AO159" s="184"/>
    </row>
    <row r="160" spans="1:41" ht="11.45" hidden="1" x14ac:dyDescent="0.2">
      <c r="A160" s="268"/>
      <c r="B160" s="273"/>
      <c r="C160" s="269"/>
      <c r="D160" s="268" t="s">
        <v>74</v>
      </c>
      <c r="E160" s="269"/>
      <c r="F160" s="163">
        <v>0.1</v>
      </c>
      <c r="G160" s="245">
        <v>17587</v>
      </c>
      <c r="H160" s="246"/>
      <c r="I160" s="164"/>
      <c r="J160" s="164"/>
      <c r="K160" s="164"/>
      <c r="L160" s="164"/>
      <c r="M160" s="164"/>
      <c r="N160" s="63">
        <f>IF(I$150="#GSRs",ROUND((Worksheet!K171*I160)/3*Worksheet!C$30,0),ROUND(Request!I160/3*Worksheet!K171,0))</f>
        <v>0</v>
      </c>
      <c r="O160" s="63">
        <f>IF(J$150="#GSRs",ROUND((Worksheet!L171*J160)/3*Worksheet!D$30,0),ROUND(Request!J160/3*Worksheet!L171,0))</f>
        <v>0</v>
      </c>
      <c r="P160" s="63">
        <f>IF(K$150="#GSRs",ROUND((Worksheet!M171*K160)/3*Worksheet!E$30,0),ROUND(Request!K160/3*Worksheet!M171,0))</f>
        <v>0</v>
      </c>
      <c r="Q160" s="63">
        <f>IF(L$150="#GSRs",ROUND((Worksheet!N171*L160)/3*Worksheet!F$30,0),ROUND(Request!L160/3*Worksheet!N171,0))</f>
        <v>0</v>
      </c>
      <c r="R160" s="63">
        <f>IF(M$150="#GSRs",ROUND((Worksheet!O171*M160)/3*Worksheet!G$30,0),ROUND(Request!M160/3*Worksheet!O171,0))</f>
        <v>0</v>
      </c>
      <c r="S160" s="63">
        <f t="shared" si="31"/>
        <v>0</v>
      </c>
      <c r="T160" s="191"/>
      <c r="U160" s="184"/>
      <c r="V160" s="184"/>
      <c r="W160" s="184"/>
      <c r="X160" s="184"/>
      <c r="Y160" s="184"/>
      <c r="Z160" s="184"/>
      <c r="AA160" s="184"/>
      <c r="AB160" s="184"/>
      <c r="AC160" s="184"/>
      <c r="AD160" s="184"/>
      <c r="AE160" s="184"/>
      <c r="AF160" s="184"/>
      <c r="AG160" s="184"/>
      <c r="AH160" s="184"/>
      <c r="AI160" s="184"/>
      <c r="AJ160" s="184"/>
      <c r="AK160" s="184"/>
      <c r="AL160" s="184"/>
      <c r="AM160" s="184"/>
      <c r="AN160" s="184"/>
      <c r="AO160" s="184"/>
    </row>
    <row r="161" spans="1:41" ht="11.45" hidden="1" x14ac:dyDescent="0.2">
      <c r="A161" s="268"/>
      <c r="B161" s="273"/>
      <c r="C161" s="269"/>
      <c r="D161" s="268" t="s">
        <v>74</v>
      </c>
      <c r="E161" s="269"/>
      <c r="F161" s="163">
        <v>0.1</v>
      </c>
      <c r="G161" s="245">
        <v>17587</v>
      </c>
      <c r="H161" s="246"/>
      <c r="I161" s="164"/>
      <c r="J161" s="164"/>
      <c r="K161" s="164"/>
      <c r="L161" s="164"/>
      <c r="M161" s="164"/>
      <c r="N161" s="63">
        <f>IF(I$150="#GSRs",ROUND((Worksheet!K172*I161)/3*Worksheet!C$30,0),ROUND(Request!I161/3*Worksheet!K172,0))</f>
        <v>0</v>
      </c>
      <c r="O161" s="63">
        <f>IF(J$150="#GSRs",ROUND((Worksheet!L172*J161)/3*Worksheet!D$30,0),ROUND(Request!J161/3*Worksheet!L172,0))</f>
        <v>0</v>
      </c>
      <c r="P161" s="63">
        <f>IF(K$150="#GSRs",ROUND((Worksheet!M172*K161)/3*Worksheet!E$30,0),ROUND(Request!K161/3*Worksheet!M172,0))</f>
        <v>0</v>
      </c>
      <c r="Q161" s="63">
        <f>IF(L$150="#GSRs",ROUND((Worksheet!N172*L161)/3*Worksheet!F$30,0),ROUND(Request!L161/3*Worksheet!N172,0))</f>
        <v>0</v>
      </c>
      <c r="R161" s="63">
        <f>IF(M$150="#GSRs",ROUND((Worksheet!O172*M161)/3*Worksheet!G$30,0),ROUND(Request!M161/3*Worksheet!O172,0))</f>
        <v>0</v>
      </c>
      <c r="S161" s="63">
        <f t="shared" si="31"/>
        <v>0</v>
      </c>
      <c r="T161" s="191"/>
      <c r="U161" s="184"/>
      <c r="V161" s="184"/>
      <c r="W161" s="184"/>
      <c r="X161" s="184"/>
      <c r="Y161" s="184"/>
      <c r="Z161" s="184"/>
      <c r="AA161" s="184"/>
      <c r="AB161" s="184"/>
      <c r="AC161" s="184"/>
      <c r="AD161" s="184"/>
      <c r="AE161" s="184"/>
      <c r="AF161" s="184"/>
      <c r="AG161" s="184"/>
      <c r="AH161" s="184"/>
      <c r="AI161" s="184"/>
      <c r="AJ161" s="184"/>
      <c r="AK161" s="184"/>
      <c r="AL161" s="184"/>
      <c r="AM161" s="184"/>
      <c r="AN161" s="184"/>
      <c r="AO161" s="184"/>
    </row>
    <row r="162" spans="1:41" ht="11.45" hidden="1" x14ac:dyDescent="0.2">
      <c r="A162" s="268"/>
      <c r="B162" s="273"/>
      <c r="C162" s="269"/>
      <c r="D162" s="268" t="s">
        <v>74</v>
      </c>
      <c r="E162" s="269"/>
      <c r="F162" s="163">
        <v>0.1</v>
      </c>
      <c r="G162" s="245">
        <v>17587</v>
      </c>
      <c r="H162" s="246"/>
      <c r="I162" s="164"/>
      <c r="J162" s="164"/>
      <c r="K162" s="164"/>
      <c r="L162" s="164"/>
      <c r="M162" s="164"/>
      <c r="N162" s="63">
        <f>IF(I$150="#GSRs",ROUND((Worksheet!K173*I162)/3*Worksheet!C$30,0),ROUND(Request!I162/3*Worksheet!K173,0))</f>
        <v>0</v>
      </c>
      <c r="O162" s="63">
        <f>IF(J$150="#GSRs",ROUND((Worksheet!L173*J162)/3*Worksheet!D$30,0),ROUND(Request!J162/3*Worksheet!L173,0))</f>
        <v>0</v>
      </c>
      <c r="P162" s="63">
        <f>IF(K$150="#GSRs",ROUND((Worksheet!M173*K162)/3*Worksheet!E$30,0),ROUND(Request!K162/3*Worksheet!M173,0))</f>
        <v>0</v>
      </c>
      <c r="Q162" s="63">
        <f>IF(L$150="#GSRs",ROUND((Worksheet!N173*L162)/3*Worksheet!F$30,0),ROUND(Request!L162/3*Worksheet!N173,0))</f>
        <v>0</v>
      </c>
      <c r="R162" s="63">
        <f>IF(M$150="#GSRs",ROUND((Worksheet!O173*M162)/3*Worksheet!G$30,0),ROUND(Request!M162/3*Worksheet!O173,0))</f>
        <v>0</v>
      </c>
      <c r="S162" s="63">
        <f t="shared" si="31"/>
        <v>0</v>
      </c>
      <c r="T162" s="191"/>
      <c r="U162" s="184"/>
      <c r="V162" s="184"/>
      <c r="W162" s="184"/>
      <c r="X162" s="184"/>
      <c r="Y162" s="184"/>
      <c r="Z162" s="184"/>
      <c r="AA162" s="184"/>
      <c r="AB162" s="184"/>
      <c r="AC162" s="184"/>
      <c r="AD162" s="184"/>
      <c r="AE162" s="184"/>
      <c r="AF162" s="184"/>
      <c r="AG162" s="184"/>
      <c r="AH162" s="184"/>
      <c r="AI162" s="184"/>
      <c r="AJ162" s="184"/>
      <c r="AK162" s="184"/>
      <c r="AL162" s="184"/>
      <c r="AM162" s="184"/>
      <c r="AN162" s="184"/>
      <c r="AO162" s="184"/>
    </row>
    <row r="163" spans="1:41" ht="11.45" hidden="1" x14ac:dyDescent="0.2">
      <c r="A163" s="93" t="s">
        <v>181</v>
      </c>
      <c r="B163" s="54"/>
      <c r="C163" s="54"/>
      <c r="D163" s="114"/>
      <c r="E163" s="114"/>
      <c r="F163" s="54"/>
      <c r="G163" s="260" t="s">
        <v>113</v>
      </c>
      <c r="H163" s="261"/>
      <c r="I163" s="339" t="s">
        <v>186</v>
      </c>
      <c r="J163" s="340"/>
      <c r="K163" s="340"/>
      <c r="L163" s="340"/>
      <c r="M163" s="341"/>
      <c r="N163" s="55"/>
      <c r="O163" s="55"/>
      <c r="P163" s="55"/>
      <c r="Q163" s="55"/>
      <c r="R163" s="55"/>
      <c r="S163" s="55"/>
      <c r="T163" s="191"/>
      <c r="U163" s="184"/>
      <c r="V163" s="184"/>
      <c r="W163" s="184"/>
      <c r="X163" s="184"/>
      <c r="Y163" s="184"/>
      <c r="Z163" s="184"/>
      <c r="AA163" s="184"/>
      <c r="AB163" s="184"/>
      <c r="AC163" s="184"/>
      <c r="AD163" s="184"/>
      <c r="AE163" s="184"/>
      <c r="AF163" s="184"/>
      <c r="AG163" s="184"/>
      <c r="AH163" s="184"/>
      <c r="AI163" s="184"/>
      <c r="AJ163" s="184"/>
      <c r="AK163" s="184"/>
      <c r="AL163" s="184"/>
      <c r="AM163" s="184"/>
      <c r="AN163" s="184"/>
      <c r="AO163" s="184"/>
    </row>
    <row r="164" spans="1:41" ht="11.45" hidden="1" x14ac:dyDescent="0.2">
      <c r="A164" s="178"/>
      <c r="B164" s="159"/>
      <c r="C164" s="159"/>
      <c r="D164" s="159"/>
      <c r="E164" s="159"/>
      <c r="F164" s="159"/>
      <c r="G164" s="159"/>
      <c r="H164" s="159"/>
      <c r="I164" s="159"/>
      <c r="J164" s="159"/>
      <c r="K164" s="159"/>
      <c r="L164" s="159"/>
      <c r="M164" s="159"/>
      <c r="N164" s="160"/>
      <c r="O164" s="160"/>
      <c r="P164" s="160"/>
      <c r="Q164" s="160"/>
      <c r="R164" s="160"/>
      <c r="S164" s="89">
        <f>SUM(N164:R164)</f>
        <v>0</v>
      </c>
      <c r="T164" s="191"/>
      <c r="U164" s="184"/>
      <c r="V164" s="184"/>
      <c r="W164" s="184"/>
      <c r="X164" s="184"/>
      <c r="Y164" s="184"/>
      <c r="Z164" s="184"/>
      <c r="AA164" s="184"/>
      <c r="AB164" s="184"/>
      <c r="AC164" s="184"/>
      <c r="AD164" s="184"/>
      <c r="AE164" s="184"/>
      <c r="AF164" s="184"/>
      <c r="AG164" s="184"/>
      <c r="AH164" s="184"/>
      <c r="AI164" s="184"/>
      <c r="AJ164" s="184"/>
      <c r="AK164" s="184"/>
      <c r="AL164" s="184"/>
      <c r="AM164" s="184"/>
      <c r="AN164" s="184"/>
      <c r="AO164" s="184"/>
    </row>
    <row r="165" spans="1:41" ht="11.45" hidden="1" x14ac:dyDescent="0.2">
      <c r="A165" s="178"/>
      <c r="B165" s="159"/>
      <c r="C165" s="159"/>
      <c r="D165" s="159"/>
      <c r="E165" s="159"/>
      <c r="F165" s="159"/>
      <c r="G165" s="159"/>
      <c r="H165" s="159"/>
      <c r="I165" s="159"/>
      <c r="J165" s="159"/>
      <c r="K165" s="159"/>
      <c r="L165" s="159"/>
      <c r="M165" s="159"/>
      <c r="N165" s="160"/>
      <c r="O165" s="160"/>
      <c r="P165" s="160"/>
      <c r="Q165" s="160"/>
      <c r="R165" s="160"/>
      <c r="S165" s="89">
        <f>SUM(N165:R165)</f>
        <v>0</v>
      </c>
      <c r="T165" s="191"/>
      <c r="U165" s="184"/>
      <c r="V165" s="184"/>
      <c r="W165" s="184"/>
      <c r="X165" s="184"/>
      <c r="Y165" s="184"/>
      <c r="Z165" s="184"/>
      <c r="AA165" s="184"/>
      <c r="AB165" s="184"/>
      <c r="AC165" s="184"/>
      <c r="AD165" s="184"/>
      <c r="AE165" s="184"/>
      <c r="AF165" s="184"/>
      <c r="AG165" s="184"/>
      <c r="AH165" s="184"/>
      <c r="AI165" s="184"/>
      <c r="AJ165" s="184"/>
      <c r="AK165" s="184"/>
      <c r="AL165" s="184"/>
      <c r="AM165" s="184"/>
      <c r="AN165" s="184"/>
      <c r="AO165" s="184"/>
    </row>
    <row r="166" spans="1:41" ht="11.45" hidden="1" x14ac:dyDescent="0.2">
      <c r="A166" s="178"/>
      <c r="B166" s="159"/>
      <c r="C166" s="159"/>
      <c r="D166" s="159"/>
      <c r="E166" s="159"/>
      <c r="F166" s="159"/>
      <c r="G166" s="159"/>
      <c r="H166" s="159"/>
      <c r="I166" s="159"/>
      <c r="J166" s="159"/>
      <c r="K166" s="159"/>
      <c r="L166" s="159"/>
      <c r="M166" s="159"/>
      <c r="N166" s="160"/>
      <c r="O166" s="160"/>
      <c r="P166" s="160"/>
      <c r="Q166" s="160"/>
      <c r="R166" s="160"/>
      <c r="S166" s="89">
        <f>SUM(N166:R166)</f>
        <v>0</v>
      </c>
      <c r="T166" s="184"/>
      <c r="U166" s="184"/>
      <c r="V166" s="184"/>
      <c r="W166" s="184"/>
      <c r="X166" s="184"/>
      <c r="Y166" s="184"/>
      <c r="Z166" s="184"/>
      <c r="AA166" s="184"/>
      <c r="AB166" s="184"/>
      <c r="AC166" s="184"/>
      <c r="AD166" s="184"/>
      <c r="AE166" s="184"/>
      <c r="AF166" s="184"/>
      <c r="AG166" s="184"/>
      <c r="AH166" s="184"/>
      <c r="AI166" s="184"/>
      <c r="AJ166" s="184"/>
      <c r="AK166" s="184"/>
      <c r="AL166" s="184"/>
      <c r="AM166" s="184"/>
      <c r="AN166" s="184"/>
      <c r="AO166" s="184"/>
    </row>
    <row r="167" spans="1:41" ht="11.45" hidden="1" x14ac:dyDescent="0.2">
      <c r="A167" s="178"/>
      <c r="B167" s="159"/>
      <c r="C167" s="159"/>
      <c r="D167" s="159"/>
      <c r="E167" s="159"/>
      <c r="F167" s="159"/>
      <c r="G167" s="159"/>
      <c r="H167" s="159"/>
      <c r="I167" s="159"/>
      <c r="J167" s="159"/>
      <c r="K167" s="159"/>
      <c r="L167" s="159"/>
      <c r="M167" s="159"/>
      <c r="N167" s="160"/>
      <c r="O167" s="160"/>
      <c r="P167" s="160"/>
      <c r="Q167" s="160"/>
      <c r="R167" s="160"/>
      <c r="S167" s="89">
        <f>SUM(N167:R167)</f>
        <v>0</v>
      </c>
      <c r="T167" s="184"/>
      <c r="U167" s="184"/>
      <c r="V167" s="184"/>
      <c r="W167" s="184"/>
      <c r="X167" s="184"/>
      <c r="Y167" s="184"/>
      <c r="Z167" s="184"/>
      <c r="AA167" s="184"/>
      <c r="AB167" s="184"/>
      <c r="AC167" s="184"/>
      <c r="AD167" s="184"/>
      <c r="AE167" s="184"/>
      <c r="AF167" s="184"/>
      <c r="AG167" s="184"/>
      <c r="AH167" s="184"/>
      <c r="AI167" s="184"/>
      <c r="AJ167" s="184"/>
      <c r="AK167" s="184"/>
      <c r="AL167" s="184"/>
      <c r="AM167" s="184"/>
      <c r="AN167" s="184"/>
      <c r="AO167" s="184"/>
    </row>
    <row r="168" spans="1:41" ht="11.45" hidden="1" x14ac:dyDescent="0.2">
      <c r="A168" s="178"/>
      <c r="B168" s="159"/>
      <c r="C168" s="159"/>
      <c r="D168" s="159"/>
      <c r="E168" s="159"/>
      <c r="F168" s="159"/>
      <c r="G168" s="159"/>
      <c r="H168" s="159"/>
      <c r="I168" s="159"/>
      <c r="J168" s="159"/>
      <c r="K168" s="159"/>
      <c r="L168" s="159"/>
      <c r="M168" s="159"/>
      <c r="N168" s="160"/>
      <c r="O168" s="160"/>
      <c r="P168" s="160"/>
      <c r="Q168" s="160"/>
      <c r="R168" s="160"/>
      <c r="S168" s="89">
        <f>SUM(N168:R168)</f>
        <v>0</v>
      </c>
      <c r="T168" s="184"/>
      <c r="U168" s="184"/>
      <c r="V168" s="184"/>
      <c r="W168" s="184"/>
      <c r="X168" s="184"/>
      <c r="Y168" s="184"/>
      <c r="Z168" s="184"/>
      <c r="AA168" s="184"/>
      <c r="AB168" s="184"/>
      <c r="AC168" s="184"/>
      <c r="AD168" s="184"/>
      <c r="AE168" s="184"/>
      <c r="AF168" s="184"/>
      <c r="AG168" s="184"/>
      <c r="AH168" s="184"/>
      <c r="AI168" s="184"/>
      <c r="AJ168" s="184"/>
      <c r="AK168" s="184"/>
      <c r="AL168" s="184"/>
      <c r="AM168" s="184"/>
      <c r="AN168" s="184"/>
      <c r="AO168" s="184"/>
    </row>
    <row r="169" spans="1:41" ht="11.45" hidden="1" x14ac:dyDescent="0.2">
      <c r="A169" s="58" t="s">
        <v>78</v>
      </c>
      <c r="B169" s="167"/>
      <c r="C169" s="167"/>
      <c r="D169" s="167"/>
      <c r="E169" s="167"/>
      <c r="F169" s="167"/>
      <c r="G169" s="167"/>
      <c r="H169" s="167"/>
      <c r="I169" s="167"/>
      <c r="J169" s="167"/>
      <c r="K169" s="167"/>
      <c r="L169" s="167"/>
      <c r="M169" s="168"/>
      <c r="N169" s="169"/>
      <c r="O169" s="169"/>
      <c r="P169" s="169"/>
      <c r="Q169" s="169"/>
      <c r="R169" s="169"/>
      <c r="S169" s="87"/>
      <c r="T169" s="184"/>
      <c r="U169" s="184"/>
      <c r="V169" s="184"/>
      <c r="W169" s="184"/>
      <c r="X169" s="184"/>
      <c r="Y169" s="184"/>
      <c r="Z169" s="184"/>
      <c r="AA169" s="184"/>
      <c r="AB169" s="184"/>
      <c r="AC169" s="184"/>
      <c r="AD169" s="184"/>
      <c r="AE169" s="184"/>
      <c r="AF169" s="184"/>
      <c r="AG169" s="184"/>
      <c r="AH169" s="184"/>
      <c r="AI169" s="184"/>
      <c r="AJ169" s="184"/>
      <c r="AK169" s="184"/>
      <c r="AL169" s="184"/>
      <c r="AM169" s="184"/>
      <c r="AN169" s="184"/>
      <c r="AO169" s="184"/>
    </row>
    <row r="170" spans="1:41" ht="11.45" hidden="1" x14ac:dyDescent="0.2">
      <c r="A170" s="178"/>
      <c r="B170" s="159"/>
      <c r="C170" s="159"/>
      <c r="D170" s="159"/>
      <c r="E170" s="159"/>
      <c r="F170" s="159"/>
      <c r="G170" s="159"/>
      <c r="H170" s="159"/>
      <c r="I170" s="159"/>
      <c r="J170" s="159"/>
      <c r="K170" s="159"/>
      <c r="L170" s="159"/>
      <c r="M170" s="159"/>
      <c r="N170" s="170"/>
      <c r="O170" s="170"/>
      <c r="P170" s="170"/>
      <c r="Q170" s="170"/>
      <c r="R170" s="170"/>
      <c r="S170" s="89"/>
      <c r="T170" s="184"/>
      <c r="U170" s="184"/>
      <c r="V170" s="184"/>
      <c r="W170" s="184"/>
      <c r="X170" s="184"/>
      <c r="Y170" s="184"/>
      <c r="Z170" s="184"/>
      <c r="AA170" s="184"/>
      <c r="AB170" s="184"/>
      <c r="AC170" s="184"/>
      <c r="AD170" s="184"/>
      <c r="AE170" s="184"/>
      <c r="AF170" s="184"/>
      <c r="AG170" s="184"/>
      <c r="AH170" s="184"/>
      <c r="AI170" s="184"/>
      <c r="AJ170" s="184"/>
      <c r="AK170" s="184"/>
      <c r="AL170" s="184"/>
      <c r="AM170" s="184"/>
      <c r="AN170" s="184"/>
      <c r="AO170" s="184"/>
    </row>
    <row r="171" spans="1:41" ht="11.45" hidden="1" x14ac:dyDescent="0.2">
      <c r="A171" s="178"/>
      <c r="B171" s="159"/>
      <c r="C171" s="159"/>
      <c r="D171" s="159"/>
      <c r="E171" s="159"/>
      <c r="F171" s="159"/>
      <c r="G171" s="159"/>
      <c r="H171" s="159"/>
      <c r="I171" s="159"/>
      <c r="J171" s="159"/>
      <c r="K171" s="159"/>
      <c r="L171" s="159"/>
      <c r="M171" s="159"/>
      <c r="N171" s="170"/>
      <c r="O171" s="170"/>
      <c r="P171" s="170"/>
      <c r="Q171" s="170"/>
      <c r="R171" s="170"/>
      <c r="S171" s="89">
        <f t="shared" ref="S171:S177" si="32">SUM(N171:R171)</f>
        <v>0</v>
      </c>
      <c r="T171" s="184"/>
      <c r="U171" s="184"/>
      <c r="V171" s="184"/>
      <c r="W171" s="184"/>
      <c r="X171" s="184"/>
      <c r="Y171" s="184"/>
      <c r="Z171" s="184"/>
      <c r="AA171" s="184"/>
      <c r="AB171" s="184"/>
      <c r="AC171" s="184"/>
      <c r="AD171" s="184"/>
      <c r="AE171" s="184"/>
      <c r="AF171" s="184"/>
      <c r="AG171" s="184"/>
      <c r="AH171" s="184"/>
      <c r="AI171" s="184"/>
      <c r="AJ171" s="184"/>
      <c r="AK171" s="184"/>
      <c r="AL171" s="184"/>
      <c r="AM171" s="184"/>
      <c r="AN171" s="184"/>
      <c r="AO171" s="184"/>
    </row>
    <row r="172" spans="1:41" ht="11.45" hidden="1" x14ac:dyDescent="0.2">
      <c r="A172" s="178"/>
      <c r="B172" s="159"/>
      <c r="C172" s="159"/>
      <c r="D172" s="159"/>
      <c r="E172" s="159"/>
      <c r="F172" s="159"/>
      <c r="G172" s="159"/>
      <c r="H172" s="159"/>
      <c r="I172" s="159"/>
      <c r="J172" s="159"/>
      <c r="K172" s="159"/>
      <c r="L172" s="159"/>
      <c r="M172" s="159"/>
      <c r="N172" s="170"/>
      <c r="O172" s="170"/>
      <c r="P172" s="170"/>
      <c r="Q172" s="170"/>
      <c r="R172" s="170"/>
      <c r="S172" s="89">
        <f t="shared" si="32"/>
        <v>0</v>
      </c>
      <c r="T172" s="184"/>
      <c r="U172" s="184"/>
      <c r="V172" s="184"/>
      <c r="W172" s="184"/>
      <c r="X172" s="184"/>
      <c r="Y172" s="184"/>
      <c r="Z172" s="184"/>
      <c r="AA172" s="184"/>
      <c r="AB172" s="184"/>
      <c r="AC172" s="184"/>
      <c r="AD172" s="184"/>
      <c r="AE172" s="184"/>
      <c r="AF172" s="184"/>
      <c r="AG172" s="184"/>
      <c r="AH172" s="184"/>
      <c r="AI172" s="184"/>
      <c r="AJ172" s="184"/>
      <c r="AK172" s="184"/>
      <c r="AL172" s="184"/>
      <c r="AM172" s="184"/>
      <c r="AN172" s="184"/>
      <c r="AO172" s="184"/>
    </row>
    <row r="173" spans="1:41" ht="11.45" hidden="1" x14ac:dyDescent="0.2">
      <c r="A173" s="178"/>
      <c r="B173" s="159"/>
      <c r="C173" s="159"/>
      <c r="D173" s="159"/>
      <c r="E173" s="159"/>
      <c r="F173" s="159"/>
      <c r="G173" s="159"/>
      <c r="H173" s="159"/>
      <c r="I173" s="159"/>
      <c r="J173" s="159"/>
      <c r="K173" s="159"/>
      <c r="L173" s="159"/>
      <c r="M173" s="159"/>
      <c r="N173" s="170"/>
      <c r="O173" s="170"/>
      <c r="P173" s="170"/>
      <c r="Q173" s="170"/>
      <c r="R173" s="170"/>
      <c r="S173" s="89">
        <f t="shared" si="32"/>
        <v>0</v>
      </c>
      <c r="T173" s="184"/>
      <c r="U173" s="184"/>
      <c r="V173" s="184"/>
      <c r="W173" s="184"/>
      <c r="X173" s="184"/>
      <c r="Y173" s="184"/>
      <c r="Z173" s="184"/>
      <c r="AA173" s="184"/>
      <c r="AB173" s="184"/>
      <c r="AC173" s="184"/>
      <c r="AD173" s="184"/>
      <c r="AE173" s="184"/>
      <c r="AF173" s="184"/>
      <c r="AG173" s="184"/>
      <c r="AH173" s="184"/>
      <c r="AI173" s="184"/>
      <c r="AJ173" s="184"/>
      <c r="AK173" s="184"/>
      <c r="AL173" s="184"/>
      <c r="AM173" s="184"/>
      <c r="AN173" s="184"/>
      <c r="AO173" s="184"/>
    </row>
    <row r="174" spans="1:41" ht="11.45" hidden="1" x14ac:dyDescent="0.2">
      <c r="A174" s="178"/>
      <c r="B174" s="159"/>
      <c r="C174" s="159"/>
      <c r="D174" s="159"/>
      <c r="E174" s="159"/>
      <c r="F174" s="159"/>
      <c r="G174" s="159"/>
      <c r="H174" s="159"/>
      <c r="I174" s="159"/>
      <c r="J174" s="159"/>
      <c r="K174" s="159"/>
      <c r="L174" s="159"/>
      <c r="M174" s="159"/>
      <c r="N174" s="170"/>
      <c r="O174" s="170"/>
      <c r="P174" s="170"/>
      <c r="Q174" s="170"/>
      <c r="R174" s="170"/>
      <c r="S174" s="89">
        <f t="shared" si="32"/>
        <v>0</v>
      </c>
      <c r="T174" s="184"/>
      <c r="U174" s="184"/>
      <c r="V174" s="184"/>
      <c r="W174" s="184"/>
      <c r="X174" s="184"/>
      <c r="Y174" s="184"/>
      <c r="Z174" s="184"/>
      <c r="AA174" s="184"/>
      <c r="AB174" s="184"/>
      <c r="AC174" s="184"/>
      <c r="AD174" s="184"/>
      <c r="AE174" s="184"/>
      <c r="AF174" s="184"/>
      <c r="AG174" s="184"/>
      <c r="AH174" s="184"/>
      <c r="AI174" s="184"/>
      <c r="AJ174" s="184"/>
      <c r="AK174" s="184"/>
      <c r="AL174" s="184"/>
      <c r="AM174" s="184"/>
      <c r="AN174" s="184"/>
      <c r="AO174" s="184"/>
    </row>
    <row r="175" spans="1:41" ht="11.45" hidden="1" x14ac:dyDescent="0.2">
      <c r="A175" s="178"/>
      <c r="B175" s="159"/>
      <c r="C175" s="159"/>
      <c r="D175" s="159"/>
      <c r="E175" s="159"/>
      <c r="F175" s="159"/>
      <c r="G175" s="159"/>
      <c r="H175" s="159"/>
      <c r="I175" s="159"/>
      <c r="J175" s="159"/>
      <c r="K175" s="159"/>
      <c r="L175" s="159"/>
      <c r="M175" s="159"/>
      <c r="N175" s="170"/>
      <c r="O175" s="170"/>
      <c r="P175" s="170"/>
      <c r="Q175" s="170"/>
      <c r="R175" s="170"/>
      <c r="S175" s="89">
        <f t="shared" si="32"/>
        <v>0</v>
      </c>
      <c r="T175" s="184"/>
      <c r="U175" s="184"/>
      <c r="V175" s="184"/>
      <c r="W175" s="184"/>
      <c r="X175" s="184"/>
      <c r="Y175" s="184"/>
      <c r="Z175" s="184"/>
      <c r="AA175" s="184"/>
      <c r="AB175" s="184"/>
      <c r="AC175" s="184"/>
      <c r="AD175" s="184"/>
      <c r="AE175" s="184"/>
      <c r="AF175" s="184"/>
      <c r="AG175" s="184"/>
      <c r="AH175" s="184"/>
      <c r="AI175" s="184"/>
      <c r="AJ175" s="184"/>
      <c r="AK175" s="184"/>
      <c r="AL175" s="184"/>
      <c r="AM175" s="184"/>
      <c r="AN175" s="184"/>
      <c r="AO175" s="184"/>
    </row>
    <row r="176" spans="1:41" ht="11.45" hidden="1" x14ac:dyDescent="0.2">
      <c r="A176" s="178"/>
      <c r="B176" s="159"/>
      <c r="C176" s="159"/>
      <c r="D176" s="159"/>
      <c r="E176" s="159"/>
      <c r="F176" s="159"/>
      <c r="G176" s="159"/>
      <c r="H176" s="159"/>
      <c r="I176" s="159"/>
      <c r="J176" s="159"/>
      <c r="K176" s="159"/>
      <c r="L176" s="159"/>
      <c r="M176" s="159"/>
      <c r="N176" s="170"/>
      <c r="O176" s="170"/>
      <c r="P176" s="170"/>
      <c r="Q176" s="170"/>
      <c r="R176" s="170"/>
      <c r="S176" s="89">
        <f t="shared" si="32"/>
        <v>0</v>
      </c>
      <c r="T176" s="184"/>
      <c r="U176" s="184"/>
      <c r="V176" s="184"/>
      <c r="W176" s="184"/>
      <c r="X176" s="184"/>
      <c r="Y176" s="184"/>
      <c r="Z176" s="184"/>
      <c r="AA176" s="184"/>
      <c r="AB176" s="184"/>
      <c r="AC176" s="184"/>
      <c r="AD176" s="184"/>
      <c r="AE176" s="184"/>
      <c r="AF176" s="184"/>
      <c r="AG176" s="184"/>
      <c r="AH176" s="184"/>
      <c r="AI176" s="184"/>
      <c r="AJ176" s="184"/>
      <c r="AK176" s="184"/>
      <c r="AL176" s="184"/>
      <c r="AM176" s="184"/>
      <c r="AN176" s="184"/>
      <c r="AO176" s="184"/>
    </row>
    <row r="177" spans="1:41" ht="11.45" hidden="1" x14ac:dyDescent="0.2">
      <c r="A177" s="178"/>
      <c r="B177" s="159"/>
      <c r="C177" s="159"/>
      <c r="D177" s="159"/>
      <c r="E177" s="159"/>
      <c r="F177" s="159"/>
      <c r="G177" s="159"/>
      <c r="H177" s="159"/>
      <c r="I177" s="159"/>
      <c r="J177" s="159"/>
      <c r="K177" s="159"/>
      <c r="L177" s="159"/>
      <c r="M177" s="159"/>
      <c r="N177" s="170"/>
      <c r="O177" s="170"/>
      <c r="P177" s="170"/>
      <c r="Q177" s="170"/>
      <c r="R177" s="170"/>
      <c r="S177" s="89">
        <f t="shared" si="32"/>
        <v>0</v>
      </c>
      <c r="T177" s="184"/>
      <c r="U177" s="184"/>
      <c r="V177" s="184"/>
      <c r="W177" s="184"/>
      <c r="X177" s="184"/>
      <c r="Y177" s="184"/>
      <c r="Z177" s="184"/>
      <c r="AA177" s="184"/>
      <c r="AB177" s="184"/>
      <c r="AC177" s="184"/>
      <c r="AD177" s="184"/>
      <c r="AE177" s="184"/>
      <c r="AF177" s="184"/>
      <c r="AG177" s="184"/>
      <c r="AH177" s="184"/>
      <c r="AI177" s="184"/>
      <c r="AJ177" s="184"/>
      <c r="AK177" s="184"/>
      <c r="AL177" s="184"/>
      <c r="AM177" s="184"/>
      <c r="AN177" s="184"/>
      <c r="AO177" s="184"/>
    </row>
    <row r="178" spans="1:41" ht="11.45" x14ac:dyDescent="0.2">
      <c r="A178" s="179" t="s">
        <v>201</v>
      </c>
      <c r="B178" s="167"/>
      <c r="C178" s="167"/>
      <c r="D178" s="167"/>
      <c r="E178" s="167"/>
      <c r="F178" s="167"/>
      <c r="G178" s="167"/>
      <c r="H178" s="167"/>
      <c r="I178" s="167"/>
      <c r="J178" s="167"/>
      <c r="K178" s="167"/>
      <c r="L178" s="167"/>
      <c r="M178" s="168"/>
      <c r="N178" s="169"/>
      <c r="O178" s="169"/>
      <c r="P178" s="169"/>
      <c r="Q178" s="169"/>
      <c r="R178" s="169"/>
      <c r="S178" s="87"/>
      <c r="T178" s="184"/>
      <c r="U178" s="184"/>
      <c r="V178" s="184"/>
      <c r="W178" s="184"/>
      <c r="X178" s="184"/>
      <c r="Y178" s="184"/>
      <c r="Z178" s="184"/>
      <c r="AA178" s="184"/>
      <c r="AB178" s="184"/>
      <c r="AC178" s="184"/>
      <c r="AD178" s="184"/>
      <c r="AE178" s="184"/>
      <c r="AF178" s="184"/>
      <c r="AG178" s="184"/>
      <c r="AH178" s="184"/>
      <c r="AI178" s="184"/>
      <c r="AJ178" s="184"/>
      <c r="AK178" s="184"/>
      <c r="AL178" s="184"/>
      <c r="AM178" s="184"/>
      <c r="AN178" s="184"/>
      <c r="AO178" s="184"/>
    </row>
    <row r="179" spans="1:41" ht="11.45" x14ac:dyDescent="0.2">
      <c r="A179" s="178"/>
      <c r="B179" s="159" t="s">
        <v>204</v>
      </c>
      <c r="C179" s="159"/>
      <c r="D179" s="159"/>
      <c r="E179" s="159"/>
      <c r="F179" s="159"/>
      <c r="G179" s="159"/>
      <c r="H179" s="159"/>
      <c r="I179" s="159"/>
      <c r="J179" s="159"/>
      <c r="K179" s="159"/>
      <c r="L179" s="159"/>
      <c r="M179" s="159"/>
      <c r="N179" s="160">
        <v>350</v>
      </c>
      <c r="O179" s="160"/>
      <c r="P179" s="160"/>
      <c r="Q179" s="160"/>
      <c r="R179" s="160"/>
      <c r="S179" s="89">
        <f t="shared" ref="S179:S194" si="33">SUM(N179:R179)</f>
        <v>350</v>
      </c>
      <c r="T179" s="184"/>
      <c r="U179" s="184"/>
      <c r="V179" s="184"/>
      <c r="W179" s="184"/>
      <c r="X179" s="184"/>
      <c r="Y179" s="184"/>
      <c r="Z179" s="184"/>
      <c r="AA179" s="184"/>
      <c r="AB179" s="184"/>
      <c r="AC179" s="184"/>
      <c r="AD179" s="184"/>
      <c r="AE179" s="184"/>
      <c r="AF179" s="184"/>
      <c r="AG179" s="184"/>
      <c r="AH179" s="184"/>
      <c r="AI179" s="184"/>
      <c r="AJ179" s="184"/>
      <c r="AK179" s="184"/>
      <c r="AL179" s="184"/>
      <c r="AM179" s="184"/>
      <c r="AN179" s="184"/>
      <c r="AO179" s="184"/>
    </row>
    <row r="180" spans="1:41" ht="11.45" x14ac:dyDescent="0.2">
      <c r="A180" s="178"/>
      <c r="B180" s="159"/>
      <c r="C180" s="159"/>
      <c r="D180" s="159"/>
      <c r="E180" s="159"/>
      <c r="F180" s="159"/>
      <c r="G180" s="159"/>
      <c r="H180" s="159"/>
      <c r="I180" s="159"/>
      <c r="J180" s="159"/>
      <c r="K180" s="159"/>
      <c r="L180" s="159"/>
      <c r="M180" s="159"/>
      <c r="N180" s="160">
        <v>0</v>
      </c>
      <c r="O180" s="160"/>
      <c r="P180" s="160"/>
      <c r="Q180" s="160"/>
      <c r="R180" s="160"/>
      <c r="S180" s="89">
        <f t="shared" si="33"/>
        <v>0</v>
      </c>
      <c r="T180" s="184"/>
      <c r="U180" s="184"/>
      <c r="V180" s="184"/>
      <c r="W180" s="184"/>
      <c r="X180" s="184"/>
      <c r="Y180" s="184"/>
      <c r="Z180" s="184"/>
      <c r="AA180" s="184"/>
      <c r="AB180" s="184"/>
      <c r="AC180" s="184"/>
      <c r="AD180" s="184"/>
      <c r="AE180" s="184"/>
      <c r="AF180" s="184"/>
      <c r="AG180" s="184"/>
      <c r="AH180" s="184"/>
      <c r="AI180" s="184"/>
      <c r="AJ180" s="184"/>
      <c r="AK180" s="184"/>
      <c r="AL180" s="184"/>
      <c r="AM180" s="184"/>
      <c r="AN180" s="184"/>
      <c r="AO180" s="184"/>
    </row>
    <row r="181" spans="1:41" ht="11.45" x14ac:dyDescent="0.2">
      <c r="A181" s="178"/>
      <c r="B181" s="159"/>
      <c r="C181" s="159"/>
      <c r="D181" s="159"/>
      <c r="E181" s="159"/>
      <c r="F181" s="159"/>
      <c r="G181" s="159"/>
      <c r="H181" s="159"/>
      <c r="I181" s="159"/>
      <c r="J181" s="159"/>
      <c r="K181" s="159"/>
      <c r="L181" s="159"/>
      <c r="M181" s="159"/>
      <c r="N181" s="160">
        <v>0</v>
      </c>
      <c r="O181" s="160"/>
      <c r="P181" s="160"/>
      <c r="Q181" s="160"/>
      <c r="R181" s="160"/>
      <c r="S181" s="89"/>
      <c r="T181" s="184"/>
      <c r="U181" s="184"/>
      <c r="V181" s="184"/>
      <c r="W181" s="184"/>
      <c r="X181" s="184"/>
      <c r="Y181" s="184"/>
      <c r="Z181" s="184"/>
      <c r="AA181" s="184"/>
      <c r="AB181" s="184"/>
      <c r="AC181" s="184"/>
      <c r="AD181" s="184"/>
      <c r="AE181" s="184"/>
      <c r="AF181" s="184"/>
      <c r="AG181" s="184"/>
      <c r="AH181" s="184"/>
      <c r="AI181" s="184"/>
      <c r="AJ181" s="184"/>
      <c r="AK181" s="184"/>
      <c r="AL181" s="184"/>
      <c r="AM181" s="184"/>
      <c r="AN181" s="184"/>
      <c r="AO181" s="184"/>
    </row>
    <row r="182" spans="1:41" ht="11.45" hidden="1" x14ac:dyDescent="0.2">
      <c r="A182" s="178"/>
      <c r="B182" s="159"/>
      <c r="C182" s="159"/>
      <c r="D182" s="159"/>
      <c r="E182" s="159"/>
      <c r="F182" s="159"/>
      <c r="G182" s="159"/>
      <c r="H182" s="159"/>
      <c r="I182" s="159"/>
      <c r="J182" s="159"/>
      <c r="K182" s="159"/>
      <c r="L182" s="159"/>
      <c r="M182" s="159"/>
      <c r="N182" s="160"/>
      <c r="O182" s="160"/>
      <c r="P182" s="160"/>
      <c r="Q182" s="160"/>
      <c r="R182" s="160"/>
      <c r="S182" s="89">
        <f t="shared" si="33"/>
        <v>0</v>
      </c>
      <c r="T182" s="184"/>
      <c r="U182" s="184"/>
      <c r="V182" s="184"/>
      <c r="W182" s="184"/>
      <c r="X182" s="184"/>
      <c r="Y182" s="184"/>
      <c r="Z182" s="184"/>
      <c r="AA182" s="184"/>
      <c r="AB182" s="184"/>
      <c r="AC182" s="184"/>
      <c r="AD182" s="184"/>
      <c r="AE182" s="184"/>
      <c r="AF182" s="184"/>
      <c r="AG182" s="184"/>
      <c r="AH182" s="184"/>
      <c r="AI182" s="184"/>
      <c r="AJ182" s="184"/>
      <c r="AK182" s="184"/>
      <c r="AL182" s="184"/>
      <c r="AM182" s="184"/>
      <c r="AN182" s="184"/>
      <c r="AO182" s="184"/>
    </row>
    <row r="183" spans="1:41" ht="11.45" hidden="1" x14ac:dyDescent="0.2">
      <c r="A183" s="178"/>
      <c r="B183" s="159"/>
      <c r="C183" s="159"/>
      <c r="D183" s="159"/>
      <c r="E183" s="159"/>
      <c r="F183" s="159"/>
      <c r="G183" s="159"/>
      <c r="H183" s="159"/>
      <c r="I183" s="159"/>
      <c r="J183" s="159"/>
      <c r="K183" s="159"/>
      <c r="L183" s="159"/>
      <c r="M183" s="159"/>
      <c r="N183" s="160"/>
      <c r="O183" s="160"/>
      <c r="P183" s="160"/>
      <c r="Q183" s="160"/>
      <c r="R183" s="160"/>
      <c r="S183" s="89">
        <f t="shared" si="33"/>
        <v>0</v>
      </c>
      <c r="T183" s="184"/>
      <c r="U183" s="184"/>
      <c r="V183" s="184"/>
      <c r="W183" s="184"/>
      <c r="X183" s="184"/>
      <c r="Y183" s="184"/>
      <c r="Z183" s="184"/>
      <c r="AA183" s="184"/>
      <c r="AB183" s="184"/>
      <c r="AC183" s="184"/>
      <c r="AD183" s="184"/>
      <c r="AE183" s="184"/>
      <c r="AF183" s="184"/>
      <c r="AG183" s="184"/>
      <c r="AH183" s="184"/>
      <c r="AI183" s="184"/>
      <c r="AJ183" s="184"/>
      <c r="AK183" s="184"/>
      <c r="AL183" s="184"/>
      <c r="AM183" s="184"/>
      <c r="AN183" s="184"/>
      <c r="AO183" s="184"/>
    </row>
    <row r="184" spans="1:41" ht="11.45" hidden="1" x14ac:dyDescent="0.2">
      <c r="A184" s="178"/>
      <c r="B184" s="159"/>
      <c r="C184" s="159"/>
      <c r="D184" s="159"/>
      <c r="E184" s="159"/>
      <c r="F184" s="159"/>
      <c r="G184" s="159"/>
      <c r="H184" s="159"/>
      <c r="I184" s="159"/>
      <c r="J184" s="159"/>
      <c r="K184" s="159"/>
      <c r="L184" s="159"/>
      <c r="M184" s="159"/>
      <c r="N184" s="160"/>
      <c r="O184" s="160"/>
      <c r="P184" s="160"/>
      <c r="Q184" s="160"/>
      <c r="R184" s="160"/>
      <c r="S184" s="89">
        <f t="shared" si="33"/>
        <v>0</v>
      </c>
      <c r="T184" s="184"/>
      <c r="U184" s="184"/>
      <c r="V184" s="184"/>
      <c r="W184" s="184"/>
      <c r="X184" s="184"/>
      <c r="Y184" s="184"/>
      <c r="Z184" s="184"/>
      <c r="AA184" s="184"/>
      <c r="AB184" s="184"/>
      <c r="AC184" s="184"/>
      <c r="AD184" s="184"/>
      <c r="AE184" s="184"/>
      <c r="AF184" s="184"/>
      <c r="AG184" s="184"/>
      <c r="AH184" s="184"/>
      <c r="AI184" s="184"/>
      <c r="AJ184" s="184"/>
      <c r="AK184" s="184"/>
      <c r="AL184" s="184"/>
      <c r="AM184" s="184"/>
      <c r="AN184" s="184"/>
      <c r="AO184" s="184"/>
    </row>
    <row r="185" spans="1:41" ht="11.45" hidden="1" x14ac:dyDescent="0.2">
      <c r="A185" s="178"/>
      <c r="B185" s="159"/>
      <c r="C185" s="159"/>
      <c r="D185" s="159"/>
      <c r="E185" s="159"/>
      <c r="F185" s="159"/>
      <c r="G185" s="159"/>
      <c r="H185" s="159"/>
      <c r="I185" s="159"/>
      <c r="J185" s="159"/>
      <c r="K185" s="159"/>
      <c r="L185" s="159"/>
      <c r="M185" s="159"/>
      <c r="N185" s="160"/>
      <c r="O185" s="160"/>
      <c r="P185" s="160"/>
      <c r="Q185" s="160"/>
      <c r="R185" s="160"/>
      <c r="S185" s="89">
        <f t="shared" si="33"/>
        <v>0</v>
      </c>
      <c r="T185" s="184"/>
      <c r="U185" s="184"/>
      <c r="V185" s="184"/>
      <c r="W185" s="184"/>
      <c r="X185" s="184"/>
      <c r="Y185" s="184"/>
      <c r="Z185" s="184"/>
      <c r="AA185" s="184"/>
      <c r="AB185" s="184"/>
      <c r="AC185" s="184"/>
      <c r="AD185" s="184"/>
      <c r="AE185" s="184"/>
      <c r="AF185" s="184"/>
      <c r="AG185" s="184"/>
      <c r="AH185" s="184"/>
      <c r="AI185" s="184"/>
      <c r="AJ185" s="184"/>
      <c r="AK185" s="184"/>
      <c r="AL185" s="184"/>
      <c r="AM185" s="184"/>
      <c r="AN185" s="184"/>
      <c r="AO185" s="184"/>
    </row>
    <row r="186" spans="1:41" ht="11.45" hidden="1" x14ac:dyDescent="0.2">
      <c r="A186" s="178"/>
      <c r="B186" s="159"/>
      <c r="C186" s="159"/>
      <c r="D186" s="159"/>
      <c r="E186" s="159"/>
      <c r="F186" s="159"/>
      <c r="G186" s="159"/>
      <c r="H186" s="159"/>
      <c r="I186" s="159"/>
      <c r="J186" s="159"/>
      <c r="K186" s="159"/>
      <c r="L186" s="159"/>
      <c r="M186" s="159"/>
      <c r="N186" s="160"/>
      <c r="O186" s="160"/>
      <c r="P186" s="160"/>
      <c r="Q186" s="160"/>
      <c r="R186" s="160"/>
      <c r="S186" s="89">
        <f t="shared" si="33"/>
        <v>0</v>
      </c>
      <c r="T186" s="184"/>
      <c r="U186" s="184"/>
      <c r="V186" s="184"/>
      <c r="W186" s="184"/>
      <c r="X186" s="184"/>
      <c r="Y186" s="184"/>
      <c r="Z186" s="184"/>
      <c r="AA186" s="184"/>
      <c r="AB186" s="184"/>
      <c r="AC186" s="184"/>
      <c r="AD186" s="184"/>
      <c r="AE186" s="184"/>
      <c r="AF186" s="184"/>
      <c r="AG186" s="184"/>
      <c r="AH186" s="184"/>
      <c r="AI186" s="184"/>
      <c r="AJ186" s="184"/>
      <c r="AK186" s="184"/>
      <c r="AL186" s="184"/>
      <c r="AM186" s="184"/>
      <c r="AN186" s="184"/>
      <c r="AO186" s="184"/>
    </row>
    <row r="187" spans="1:41" ht="11.45" hidden="1" x14ac:dyDescent="0.2">
      <c r="A187" s="178"/>
      <c r="B187" s="159"/>
      <c r="C187" s="159"/>
      <c r="D187" s="159"/>
      <c r="E187" s="159"/>
      <c r="F187" s="159"/>
      <c r="G187" s="159"/>
      <c r="H187" s="159"/>
      <c r="I187" s="159"/>
      <c r="J187" s="159"/>
      <c r="K187" s="159"/>
      <c r="L187" s="159"/>
      <c r="M187" s="159"/>
      <c r="N187" s="160"/>
      <c r="O187" s="160"/>
      <c r="P187" s="160"/>
      <c r="Q187" s="160"/>
      <c r="R187" s="160"/>
      <c r="S187" s="89">
        <f t="shared" si="33"/>
        <v>0</v>
      </c>
      <c r="T187" s="184"/>
      <c r="U187" s="184"/>
      <c r="V187" s="184"/>
      <c r="W187" s="184"/>
      <c r="X187" s="184"/>
      <c r="Y187" s="184"/>
      <c r="Z187" s="184"/>
      <c r="AA187" s="184"/>
      <c r="AB187" s="184"/>
      <c r="AC187" s="184"/>
      <c r="AD187" s="184"/>
      <c r="AE187" s="184"/>
      <c r="AF187" s="184"/>
      <c r="AG187" s="184"/>
      <c r="AH187" s="184"/>
      <c r="AI187" s="184"/>
      <c r="AJ187" s="184"/>
      <c r="AK187" s="184"/>
      <c r="AL187" s="184"/>
      <c r="AM187" s="184"/>
      <c r="AN187" s="184"/>
      <c r="AO187" s="184"/>
    </row>
    <row r="188" spans="1:41" ht="11.45" hidden="1" x14ac:dyDescent="0.2">
      <c r="A188" s="178"/>
      <c r="B188" s="159"/>
      <c r="C188" s="159"/>
      <c r="D188" s="159"/>
      <c r="E188" s="159"/>
      <c r="F188" s="159"/>
      <c r="G188" s="159"/>
      <c r="H188" s="159"/>
      <c r="I188" s="159"/>
      <c r="J188" s="159"/>
      <c r="K188" s="159"/>
      <c r="L188" s="159"/>
      <c r="M188" s="159"/>
      <c r="N188" s="160"/>
      <c r="O188" s="160"/>
      <c r="P188" s="160"/>
      <c r="Q188" s="160"/>
      <c r="R188" s="160"/>
      <c r="S188" s="89">
        <f t="shared" si="33"/>
        <v>0</v>
      </c>
      <c r="T188" s="184"/>
      <c r="U188" s="184"/>
      <c r="V188" s="184"/>
      <c r="W188" s="184"/>
      <c r="X188" s="184"/>
      <c r="Y188" s="184"/>
      <c r="Z188" s="184"/>
      <c r="AA188" s="184"/>
      <c r="AB188" s="184"/>
      <c r="AC188" s="184"/>
      <c r="AD188" s="184"/>
      <c r="AE188" s="184"/>
      <c r="AF188" s="184"/>
      <c r="AG188" s="184"/>
      <c r="AH188" s="184"/>
      <c r="AI188" s="184"/>
      <c r="AJ188" s="184"/>
      <c r="AK188" s="184"/>
      <c r="AL188" s="184"/>
      <c r="AM188" s="184"/>
      <c r="AN188" s="184"/>
      <c r="AO188" s="184"/>
    </row>
    <row r="189" spans="1:41" ht="11.45" hidden="1" x14ac:dyDescent="0.2">
      <c r="A189" s="178"/>
      <c r="B189" s="159"/>
      <c r="C189" s="159"/>
      <c r="D189" s="159"/>
      <c r="E189" s="159"/>
      <c r="F189" s="159"/>
      <c r="G189" s="159"/>
      <c r="H189" s="159"/>
      <c r="I189" s="159"/>
      <c r="J189" s="159"/>
      <c r="K189" s="159"/>
      <c r="L189" s="159"/>
      <c r="M189" s="159"/>
      <c r="N189" s="160"/>
      <c r="O189" s="160"/>
      <c r="P189" s="160"/>
      <c r="Q189" s="160"/>
      <c r="R189" s="160"/>
      <c r="S189" s="89">
        <f t="shared" si="33"/>
        <v>0</v>
      </c>
      <c r="T189" s="184"/>
      <c r="U189" s="184"/>
      <c r="V189" s="184"/>
      <c r="W189" s="184"/>
      <c r="X189" s="184"/>
      <c r="Y189" s="184"/>
      <c r="Z189" s="184"/>
      <c r="AA189" s="184"/>
      <c r="AB189" s="184"/>
      <c r="AC189" s="184"/>
      <c r="AD189" s="184"/>
      <c r="AE189" s="184"/>
      <c r="AF189" s="184"/>
      <c r="AG189" s="184"/>
      <c r="AH189" s="184"/>
      <c r="AI189" s="184"/>
      <c r="AJ189" s="184"/>
      <c r="AK189" s="184"/>
      <c r="AL189" s="184"/>
      <c r="AM189" s="184"/>
      <c r="AN189" s="184"/>
      <c r="AO189" s="184"/>
    </row>
    <row r="190" spans="1:41" ht="11.45" hidden="1" x14ac:dyDescent="0.2">
      <c r="A190" s="178"/>
      <c r="B190" s="159"/>
      <c r="C190" s="159"/>
      <c r="D190" s="159"/>
      <c r="E190" s="159"/>
      <c r="F190" s="159"/>
      <c r="G190" s="159"/>
      <c r="H190" s="159"/>
      <c r="I190" s="159"/>
      <c r="J190" s="159"/>
      <c r="K190" s="159"/>
      <c r="L190" s="159"/>
      <c r="M190" s="159"/>
      <c r="N190" s="160"/>
      <c r="O190" s="160"/>
      <c r="P190" s="160"/>
      <c r="Q190" s="160"/>
      <c r="R190" s="160"/>
      <c r="S190" s="89">
        <f t="shared" si="33"/>
        <v>0</v>
      </c>
      <c r="T190" s="184"/>
      <c r="U190" s="184"/>
      <c r="V190" s="184"/>
      <c r="W190" s="184"/>
      <c r="X190" s="184"/>
      <c r="Y190" s="184"/>
      <c r="Z190" s="184"/>
      <c r="AA190" s="184"/>
      <c r="AB190" s="184"/>
      <c r="AC190" s="184"/>
      <c r="AD190" s="184"/>
      <c r="AE190" s="184"/>
      <c r="AF190" s="184"/>
      <c r="AG190" s="184"/>
      <c r="AH190" s="184"/>
      <c r="AI190" s="184"/>
      <c r="AJ190" s="184"/>
      <c r="AK190" s="184"/>
      <c r="AL190" s="184"/>
      <c r="AM190" s="184"/>
      <c r="AN190" s="184"/>
      <c r="AO190" s="184"/>
    </row>
    <row r="191" spans="1:41" ht="11.45" hidden="1" x14ac:dyDescent="0.2">
      <c r="A191" s="178"/>
      <c r="B191" s="159"/>
      <c r="C191" s="159"/>
      <c r="D191" s="159"/>
      <c r="E191" s="159"/>
      <c r="F191" s="159"/>
      <c r="G191" s="159"/>
      <c r="H191" s="159"/>
      <c r="I191" s="159"/>
      <c r="J191" s="159"/>
      <c r="K191" s="159"/>
      <c r="L191" s="159"/>
      <c r="M191" s="159"/>
      <c r="N191" s="160"/>
      <c r="O191" s="160"/>
      <c r="P191" s="160"/>
      <c r="Q191" s="160"/>
      <c r="R191" s="160"/>
      <c r="S191" s="89">
        <f t="shared" si="33"/>
        <v>0</v>
      </c>
      <c r="T191" s="184"/>
      <c r="U191" s="184"/>
      <c r="V191" s="184"/>
      <c r="W191" s="184"/>
      <c r="X191" s="184"/>
      <c r="Y191" s="184"/>
      <c r="Z191" s="184"/>
      <c r="AA191" s="184"/>
      <c r="AB191" s="184"/>
      <c r="AC191" s="184"/>
      <c r="AD191" s="184"/>
      <c r="AE191" s="184"/>
      <c r="AF191" s="184"/>
      <c r="AG191" s="184"/>
      <c r="AH191" s="184"/>
      <c r="AI191" s="184"/>
      <c r="AJ191" s="184"/>
      <c r="AK191" s="184"/>
      <c r="AL191" s="184"/>
      <c r="AM191" s="184"/>
      <c r="AN191" s="184"/>
      <c r="AO191" s="184"/>
    </row>
    <row r="192" spans="1:41" ht="11.45" hidden="1" x14ac:dyDescent="0.2">
      <c r="A192" s="178"/>
      <c r="B192" s="159"/>
      <c r="C192" s="159"/>
      <c r="D192" s="159"/>
      <c r="E192" s="159"/>
      <c r="F192" s="159"/>
      <c r="G192" s="159"/>
      <c r="H192" s="159"/>
      <c r="I192" s="159"/>
      <c r="J192" s="159"/>
      <c r="K192" s="159"/>
      <c r="L192" s="159"/>
      <c r="M192" s="159"/>
      <c r="N192" s="160"/>
      <c r="O192" s="160"/>
      <c r="P192" s="160"/>
      <c r="Q192" s="160"/>
      <c r="R192" s="160"/>
      <c r="S192" s="89">
        <f t="shared" si="33"/>
        <v>0</v>
      </c>
      <c r="T192" s="184"/>
      <c r="U192" s="184"/>
      <c r="V192" s="184"/>
      <c r="W192" s="184"/>
      <c r="X192" s="184"/>
      <c r="Y192" s="184"/>
      <c r="Z192" s="184"/>
      <c r="AA192" s="184"/>
      <c r="AB192" s="184"/>
      <c r="AC192" s="184"/>
      <c r="AD192" s="184"/>
      <c r="AE192" s="184"/>
      <c r="AF192" s="184"/>
      <c r="AG192" s="184"/>
      <c r="AH192" s="184"/>
      <c r="AI192" s="184"/>
      <c r="AJ192" s="184"/>
      <c r="AK192" s="184"/>
      <c r="AL192" s="184"/>
      <c r="AM192" s="184"/>
      <c r="AN192" s="184"/>
      <c r="AO192" s="184"/>
    </row>
    <row r="193" spans="1:41" ht="11.45" hidden="1" x14ac:dyDescent="0.2">
      <c r="A193" s="178"/>
      <c r="B193" s="180"/>
      <c r="C193" s="180"/>
      <c r="D193" s="180"/>
      <c r="E193" s="180"/>
      <c r="F193" s="180"/>
      <c r="G193" s="180"/>
      <c r="H193" s="180"/>
      <c r="I193" s="180"/>
      <c r="J193" s="180"/>
      <c r="K193" s="180"/>
      <c r="L193" s="180"/>
      <c r="M193" s="180"/>
      <c r="N193" s="160"/>
      <c r="O193" s="160"/>
      <c r="P193" s="160"/>
      <c r="Q193" s="160"/>
      <c r="R193" s="160"/>
      <c r="S193" s="89">
        <f t="shared" si="33"/>
        <v>0</v>
      </c>
      <c r="T193" s="184"/>
      <c r="U193" s="184"/>
      <c r="V193" s="184"/>
      <c r="W193" s="184"/>
      <c r="X193" s="184"/>
      <c r="Y193" s="184"/>
      <c r="Z193" s="184"/>
      <c r="AA193" s="184"/>
      <c r="AB193" s="184"/>
      <c r="AC193" s="184"/>
      <c r="AD193" s="184"/>
      <c r="AE193" s="184"/>
      <c r="AF193" s="184"/>
      <c r="AG193" s="184"/>
      <c r="AH193" s="184"/>
      <c r="AI193" s="184"/>
      <c r="AJ193" s="184"/>
      <c r="AK193" s="184"/>
      <c r="AL193" s="184"/>
      <c r="AM193" s="184"/>
      <c r="AN193" s="184"/>
      <c r="AO193" s="184"/>
    </row>
    <row r="194" spans="1:41" ht="11.45" x14ac:dyDescent="0.2">
      <c r="A194" s="135" t="s">
        <v>79</v>
      </c>
      <c r="B194" s="136"/>
      <c r="C194" s="136"/>
      <c r="D194" s="136"/>
      <c r="E194" s="136"/>
      <c r="F194" s="136"/>
      <c r="G194" s="136"/>
      <c r="H194" s="136"/>
      <c r="I194" s="136"/>
      <c r="J194" s="136"/>
      <c r="K194" s="136"/>
      <c r="L194" s="136"/>
      <c r="M194" s="137"/>
      <c r="N194" s="217">
        <f>SUM(N151:N193)</f>
        <v>350</v>
      </c>
      <c r="O194" s="124">
        <f>SUM(O151:O193)</f>
        <v>0</v>
      </c>
      <c r="P194" s="124">
        <f>SUM(P151:P193)</f>
        <v>0</v>
      </c>
      <c r="Q194" s="124">
        <f>SUM(Q151:Q193)</f>
        <v>0</v>
      </c>
      <c r="R194" s="124">
        <f>SUM(R151:R193)</f>
        <v>0</v>
      </c>
      <c r="S194" s="125">
        <f t="shared" si="33"/>
        <v>350</v>
      </c>
      <c r="T194" s="184"/>
      <c r="U194" s="184"/>
      <c r="V194" s="184"/>
      <c r="W194" s="184"/>
      <c r="X194" s="184"/>
      <c r="Y194" s="184"/>
      <c r="Z194" s="184"/>
      <c r="AA194" s="184"/>
      <c r="AB194" s="184"/>
      <c r="AC194" s="184"/>
      <c r="AD194" s="184"/>
      <c r="AE194" s="184"/>
      <c r="AF194" s="184"/>
      <c r="AG194" s="184"/>
      <c r="AH194" s="184"/>
      <c r="AI194" s="184"/>
      <c r="AJ194" s="184"/>
      <c r="AK194" s="184"/>
      <c r="AL194" s="184"/>
      <c r="AM194" s="184"/>
      <c r="AN194" s="184"/>
      <c r="AO194" s="184"/>
    </row>
    <row r="195" spans="1:41" ht="15.6" customHeight="1" x14ac:dyDescent="0.2">
      <c r="A195" s="270"/>
      <c r="B195" s="271"/>
      <c r="C195" s="271"/>
      <c r="D195" s="271"/>
      <c r="E195" s="271"/>
      <c r="F195" s="271"/>
      <c r="G195" s="271"/>
      <c r="H195" s="271"/>
      <c r="I195" s="271"/>
      <c r="J195" s="271"/>
      <c r="K195" s="271"/>
      <c r="L195" s="271"/>
      <c r="M195" s="272"/>
      <c r="N195" s="122"/>
      <c r="O195" s="122"/>
      <c r="P195" s="122"/>
      <c r="Q195" s="122">
        <f>Q196-IF($K121="IC of Above",Q121,0)-IF($K122="IC of Above",Q122,0)-IF($K123="IC of Above",Q123,0)-IF($K124="IC of Above",Q124,0)-IF($K125="IC of Above",Q125,0)-IF($K126="IC of Above",Q126,0)-IF($K127="IC of Above",Q127,0)-IF($K128="IC of Above",Q128,0)-IF($K129="IC of Above",Q129,0)-IF($K130="IC of Above",Q130,0)-IF($K131="IC of Above",Q131,0)-IF($K132="IC of Above",Q132,0)-IF($K133="IC of Above",Q133,0)-IF($K134="IC of Above",Q134,0)</f>
        <v>0</v>
      </c>
      <c r="R195" s="122">
        <f>R196-IF($K121="IC of Above",R121,0)-IF($K122="IC of Above",R122,0)-IF($K123="IC of Above",R123,0)-IF($K124="IC of Above",R124,0)-IF($K125="IC of Above",R125,0)-IF($K126="IC of Above",R126,0)-IF($K127="IC of Above",R127,0)-IF($K128="IC of Above",R128,0)-IF($K129="IC of Above",R129,0)-IF($K130="IC of Above",R130,0)-IF($K131="IC of Above",R131,0)-IF($K132="IC of Above",R132,0)-IF($K133="IC of Above",R133,0)-IF($K134="IC of Above",R134,0)</f>
        <v>0</v>
      </c>
      <c r="S195" s="122">
        <f>SUM(N195:R195)</f>
        <v>0</v>
      </c>
      <c r="T195" s="184"/>
      <c r="U195" s="184"/>
      <c r="V195" s="184"/>
      <c r="W195" s="184"/>
      <c r="X195" s="184"/>
      <c r="Y195" s="184"/>
      <c r="Z195" s="184"/>
      <c r="AA195" s="184"/>
      <c r="AB195" s="184"/>
      <c r="AC195" s="184"/>
      <c r="AD195" s="184"/>
      <c r="AE195" s="184"/>
      <c r="AF195" s="184"/>
      <c r="AG195" s="184"/>
      <c r="AH195" s="184"/>
      <c r="AI195" s="184"/>
      <c r="AJ195" s="184"/>
      <c r="AK195" s="184"/>
      <c r="AL195" s="184"/>
      <c r="AM195" s="184"/>
      <c r="AN195" s="184"/>
      <c r="AO195" s="184"/>
    </row>
    <row r="196" spans="1:41" ht="11.45" x14ac:dyDescent="0.2">
      <c r="A196" s="135" t="s">
        <v>80</v>
      </c>
      <c r="B196" s="136"/>
      <c r="C196" s="136"/>
      <c r="D196" s="136"/>
      <c r="E196" s="136"/>
      <c r="F196" s="136"/>
      <c r="G196" s="136"/>
      <c r="H196" s="136"/>
      <c r="I196" s="136"/>
      <c r="J196" s="136"/>
      <c r="K196" s="136"/>
      <c r="L196" s="136"/>
      <c r="M196" s="137"/>
      <c r="N196" s="181">
        <f>N60+N72+N85+N117+N135+N145+N194</f>
        <v>38472</v>
      </c>
      <c r="O196" s="181">
        <f>O60+O72+O85+O117+O135+O145+O194</f>
        <v>0</v>
      </c>
      <c r="P196" s="181">
        <f>P60+P72+P85+P117+P135+P145+P194</f>
        <v>0</v>
      </c>
      <c r="Q196" s="181">
        <f>Q60+Q72+Q85+Q117+Q135+Q145+Q194</f>
        <v>0</v>
      </c>
      <c r="R196" s="181">
        <f>R60+R72+R85+R117+R135+R145+R194</f>
        <v>0</v>
      </c>
      <c r="S196" s="181">
        <f>SUM(N196:R196)</f>
        <v>38472</v>
      </c>
      <c r="T196" s="184"/>
      <c r="U196" s="184"/>
      <c r="V196" s="184"/>
      <c r="W196" s="184"/>
      <c r="X196" s="184"/>
      <c r="Y196" s="184"/>
      <c r="Z196" s="184"/>
      <c r="AA196" s="184"/>
      <c r="AB196" s="184"/>
      <c r="AC196" s="184"/>
      <c r="AD196" s="184"/>
      <c r="AE196" s="184"/>
      <c r="AF196" s="184"/>
      <c r="AG196" s="184"/>
      <c r="AH196" s="184"/>
      <c r="AI196" s="184"/>
      <c r="AJ196" s="184"/>
      <c r="AK196" s="184"/>
      <c r="AL196" s="184"/>
      <c r="AM196" s="184"/>
      <c r="AN196" s="184"/>
      <c r="AO196" s="184"/>
    </row>
    <row r="197" spans="1:41" ht="11.45" x14ac:dyDescent="0.2">
      <c r="A197" s="62" t="s">
        <v>81</v>
      </c>
      <c r="B197" s="159"/>
      <c r="C197" s="159"/>
      <c r="D197" s="254" t="s">
        <v>84</v>
      </c>
      <c r="E197" s="256"/>
      <c r="F197" s="268" t="s">
        <v>86</v>
      </c>
      <c r="G197" s="273"/>
      <c r="H197" s="273"/>
      <c r="I197" s="273"/>
      <c r="J197" s="273"/>
      <c r="K197" s="273"/>
      <c r="L197" s="273"/>
      <c r="M197" s="269"/>
      <c r="N197" s="182"/>
      <c r="O197" s="182"/>
      <c r="P197" s="182"/>
      <c r="Q197" s="182">
        <f>IF($H$199&lt;&gt;"Custom",IF($F$197&lt;&gt;Worksheet!$A$91,Worksheet!F157,IF(Request!$H$199="MTDC",Worksheet!F157,IF(Request!$H$199="TDC",Worksheet!F158,IF(Request!$H$199="TC",Worksheet!F159)))),0)</f>
        <v>0</v>
      </c>
      <c r="R197" s="182">
        <f>IF($H$199&lt;&gt;"Custom",IF($F$197&lt;&gt;Worksheet!$A$91,Worksheet!G157,IF(Request!$H$199="MTDC",Worksheet!G157,IF(Request!$H$199="TDC",Worksheet!G158,IF(Request!$H$199="TC",Worksheet!G159)))),0)</f>
        <v>0</v>
      </c>
      <c r="S197" s="183"/>
      <c r="T197" s="194"/>
      <c r="U197" s="184"/>
      <c r="V197" s="184"/>
      <c r="W197" s="184"/>
      <c r="X197" s="184"/>
      <c r="Y197" s="184"/>
      <c r="Z197" s="184"/>
      <c r="AA197" s="184"/>
      <c r="AB197" s="184"/>
      <c r="AC197" s="184"/>
      <c r="AD197" s="184"/>
      <c r="AE197" s="184"/>
      <c r="AF197" s="184"/>
      <c r="AG197" s="184"/>
      <c r="AH197" s="184"/>
      <c r="AI197" s="184"/>
      <c r="AJ197" s="184"/>
      <c r="AK197" s="184"/>
      <c r="AL197" s="184"/>
      <c r="AM197" s="184"/>
      <c r="AN197" s="184"/>
      <c r="AO197" s="184"/>
    </row>
    <row r="198" spans="1:41" ht="11.45" hidden="1" x14ac:dyDescent="0.2">
      <c r="A198" s="188" t="s">
        <v>98</v>
      </c>
      <c r="B198" s="184"/>
      <c r="C198" s="184"/>
      <c r="D198" s="185"/>
      <c r="E198" s="257" t="s">
        <v>99</v>
      </c>
      <c r="F198" s="258"/>
      <c r="G198" s="258"/>
      <c r="H198" s="258"/>
      <c r="I198" s="258"/>
      <c r="J198" s="258"/>
      <c r="K198" s="258"/>
      <c r="L198" s="258"/>
      <c r="M198" s="259"/>
      <c r="N198" s="190"/>
      <c r="O198" s="190"/>
      <c r="P198" s="190"/>
      <c r="Q198" s="190"/>
      <c r="R198" s="190"/>
      <c r="S198" s="86">
        <f>SUM(N198:R198)</f>
        <v>0</v>
      </c>
      <c r="T198" s="184"/>
      <c r="U198" s="184"/>
      <c r="V198" s="184"/>
      <c r="W198" s="184"/>
      <c r="X198" s="184"/>
      <c r="Y198" s="184"/>
      <c r="Z198" s="184"/>
      <c r="AA198" s="184"/>
      <c r="AB198" s="184"/>
      <c r="AC198" s="184"/>
      <c r="AD198" s="184"/>
      <c r="AE198" s="184"/>
      <c r="AF198" s="184"/>
      <c r="AG198" s="184"/>
      <c r="AH198" s="184"/>
      <c r="AI198" s="184"/>
      <c r="AJ198" s="184"/>
      <c r="AK198" s="184"/>
      <c r="AL198" s="184"/>
      <c r="AM198" s="184"/>
      <c r="AN198" s="184"/>
      <c r="AO198" s="184"/>
    </row>
    <row r="199" spans="1:41" ht="11.45" x14ac:dyDescent="0.2">
      <c r="A199" s="189" t="s">
        <v>82</v>
      </c>
      <c r="B199" s="186"/>
      <c r="C199" s="187"/>
      <c r="D199" s="202">
        <v>0</v>
      </c>
      <c r="E199" s="255" t="s">
        <v>95</v>
      </c>
      <c r="F199" s="254"/>
      <c r="G199" s="256"/>
      <c r="H199" s="251" t="s">
        <v>96</v>
      </c>
      <c r="I199" s="252"/>
      <c r="J199" s="253"/>
      <c r="K199" s="254"/>
      <c r="L199" s="249"/>
      <c r="M199" s="250"/>
      <c r="N199" s="64">
        <f>SUM(N196-N90)*0</f>
        <v>0</v>
      </c>
      <c r="O199" s="64">
        <f>SUM(O196-O90)*0.26</f>
        <v>0</v>
      </c>
      <c r="P199" s="64">
        <f>SUM(P196-P90)*0.26</f>
        <v>0</v>
      </c>
      <c r="Q199" s="64">
        <f>IF(Q197=0,0,IF($H$199="Custom",(ROUND(Q198*$L$199,0)),(IF($F$197=Worksheet!$A$91,ROUND(Request!Q197*$L$199,0),(ROUND((Q197-Worksheet!F160)/Worksheet!F5*Worksheet!F9*Worksheet!H97+(Q197-Worksheet!F160)/Worksheet!F5*Worksheet!F10*Worksheet!I97,0)+(IF($I$163="Federal",ROUND(Worksheet!F160*Worksheet!B92,0),(ROUND(Worksheet!F160*Worksheet!B93,0)))))))))</f>
        <v>0</v>
      </c>
      <c r="R199" s="64">
        <f>IF(R197=0,0,IF($H$199="Custom",(ROUND(R198*$L$199,0)),(IF($F$197=Worksheet!$A$91,ROUND(Request!R197*$L$199,0),(ROUND((R197-Worksheet!G160)/Worksheet!G5*Worksheet!G9*Worksheet!J97+(R197-Worksheet!G160)/Worksheet!G5*Worksheet!G10*Worksheet!K97,0)+(IF($I$163="Federal",ROUND(Worksheet!G160*Worksheet!B92,0),(ROUND(Worksheet!G160*Worksheet!B93,0)))))))))</f>
        <v>0</v>
      </c>
      <c r="S199" s="98">
        <f>SUM(N199:R199)</f>
        <v>0</v>
      </c>
      <c r="T199" s="184"/>
      <c r="U199" s="184"/>
      <c r="V199" s="184"/>
      <c r="W199" s="184"/>
      <c r="X199" s="184"/>
      <c r="Y199" s="184"/>
      <c r="Z199" s="184"/>
      <c r="AA199" s="184"/>
      <c r="AB199" s="184"/>
      <c r="AC199" s="184"/>
      <c r="AD199" s="184"/>
      <c r="AE199" s="184"/>
      <c r="AF199" s="184"/>
      <c r="AG199" s="184"/>
      <c r="AH199" s="184"/>
      <c r="AI199" s="184"/>
      <c r="AJ199" s="184"/>
      <c r="AK199" s="184"/>
      <c r="AL199" s="184"/>
      <c r="AM199" s="184"/>
      <c r="AN199" s="184"/>
      <c r="AO199" s="184"/>
    </row>
    <row r="200" spans="1:41" ht="11.45" x14ac:dyDescent="0.2">
      <c r="A200" s="94" t="s">
        <v>83</v>
      </c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65"/>
      <c r="M200" s="66"/>
      <c r="N200" s="67">
        <f>N196+N199</f>
        <v>38472</v>
      </c>
      <c r="O200" s="67">
        <f t="shared" ref="O200:R200" si="34">O196+O199</f>
        <v>0</v>
      </c>
      <c r="P200" s="67">
        <f t="shared" si="34"/>
        <v>0</v>
      </c>
      <c r="Q200" s="67">
        <f t="shared" si="34"/>
        <v>0</v>
      </c>
      <c r="R200" s="67">
        <f t="shared" si="34"/>
        <v>0</v>
      </c>
      <c r="S200" s="67">
        <f>S196+S199</f>
        <v>38472</v>
      </c>
      <c r="T200" s="184"/>
      <c r="U200" s="184"/>
      <c r="V200" s="184"/>
      <c r="W200" s="184"/>
      <c r="X200" s="184"/>
      <c r="Y200" s="184"/>
      <c r="Z200" s="184"/>
      <c r="AA200" s="184"/>
      <c r="AB200" s="184"/>
      <c r="AC200" s="184"/>
      <c r="AD200" s="184"/>
      <c r="AE200" s="184"/>
      <c r="AF200" s="184"/>
      <c r="AG200" s="184"/>
      <c r="AH200" s="184"/>
      <c r="AI200" s="184"/>
      <c r="AJ200" s="184"/>
      <c r="AK200" s="184"/>
      <c r="AL200" s="184"/>
      <c r="AM200" s="184"/>
      <c r="AN200" s="184"/>
      <c r="AO200" s="184"/>
    </row>
    <row r="201" spans="1:41" ht="11.45" x14ac:dyDescent="0.2">
      <c r="A201" s="195"/>
      <c r="B201" s="196"/>
      <c r="C201" s="196"/>
      <c r="D201" s="196"/>
      <c r="E201" s="196"/>
      <c r="F201" s="196"/>
      <c r="G201" s="196"/>
      <c r="H201" s="196"/>
      <c r="I201" s="196"/>
      <c r="J201" s="196"/>
      <c r="K201" s="196"/>
      <c r="L201" s="196"/>
      <c r="M201" s="196"/>
      <c r="N201" s="197"/>
      <c r="O201" s="197"/>
      <c r="P201" s="197"/>
      <c r="Q201" s="197"/>
      <c r="R201" s="197"/>
      <c r="S201" s="197"/>
      <c r="T201" s="184"/>
      <c r="U201" s="184"/>
      <c r="V201" s="184"/>
      <c r="W201" s="184"/>
      <c r="X201" s="184"/>
      <c r="Y201" s="184"/>
      <c r="Z201" s="184"/>
      <c r="AA201" s="184"/>
      <c r="AB201" s="184"/>
      <c r="AC201" s="184"/>
      <c r="AD201" s="184"/>
      <c r="AE201" s="184"/>
      <c r="AF201" s="184"/>
      <c r="AG201" s="184"/>
      <c r="AH201" s="184"/>
      <c r="AI201" s="184"/>
      <c r="AJ201" s="184"/>
      <c r="AK201" s="184"/>
      <c r="AL201" s="184"/>
      <c r="AM201" s="184"/>
      <c r="AN201" s="184"/>
      <c r="AO201" s="184"/>
    </row>
    <row r="202" spans="1:41" ht="11.45" x14ac:dyDescent="0.2">
      <c r="A202" s="184"/>
      <c r="B202" s="184"/>
      <c r="C202" s="184"/>
      <c r="D202" s="184"/>
      <c r="E202" s="184"/>
      <c r="F202" s="184"/>
      <c r="G202" s="184"/>
      <c r="H202" s="184"/>
      <c r="I202" s="184"/>
      <c r="J202" s="184"/>
      <c r="K202" s="184"/>
      <c r="L202" s="184" t="s">
        <v>188</v>
      </c>
      <c r="M202" s="184"/>
      <c r="N202" s="207">
        <v>50000</v>
      </c>
      <c r="O202" s="207">
        <v>0</v>
      </c>
      <c r="P202" s="207">
        <v>0</v>
      </c>
      <c r="Q202" s="198"/>
      <c r="R202" s="198"/>
      <c r="S202" s="198">
        <f>SUM(N202:P202)</f>
        <v>50000</v>
      </c>
      <c r="T202" s="184"/>
      <c r="U202" s="184"/>
      <c r="V202" s="184"/>
      <c r="W202" s="184"/>
      <c r="X202" s="184"/>
      <c r="Y202" s="184"/>
      <c r="Z202" s="184"/>
      <c r="AA202" s="184"/>
      <c r="AB202" s="184"/>
      <c r="AC202" s="184"/>
      <c r="AD202" s="184"/>
      <c r="AE202" s="184"/>
      <c r="AF202" s="184"/>
      <c r="AG202" s="184"/>
      <c r="AH202" s="184"/>
      <c r="AI202" s="184"/>
      <c r="AJ202" s="184"/>
      <c r="AK202" s="184"/>
      <c r="AL202" s="184"/>
      <c r="AM202" s="184"/>
      <c r="AN202" s="184"/>
      <c r="AO202" s="184"/>
    </row>
    <row r="203" spans="1:41" ht="11.45" x14ac:dyDescent="0.2">
      <c r="A203" s="184"/>
      <c r="B203" s="184"/>
      <c r="C203" s="184"/>
      <c r="D203" s="184"/>
      <c r="E203" s="184"/>
      <c r="F203" s="184"/>
      <c r="G203" s="184"/>
      <c r="H203" s="184"/>
      <c r="I203" s="184"/>
      <c r="J203" s="184"/>
      <c r="K203" s="184"/>
      <c r="L203" s="184" t="s">
        <v>189</v>
      </c>
      <c r="M203" s="184"/>
      <c r="N203" s="206">
        <v>0</v>
      </c>
      <c r="O203" s="206">
        <v>0</v>
      </c>
      <c r="P203" s="206">
        <v>0</v>
      </c>
      <c r="Q203" s="198"/>
      <c r="R203" s="198"/>
      <c r="S203" s="198">
        <f t="shared" ref="S203:S204" si="35">SUM(N203:P203)</f>
        <v>0</v>
      </c>
      <c r="T203" s="184"/>
      <c r="U203" s="184"/>
      <c r="V203" s="184"/>
      <c r="W203" s="184"/>
      <c r="X203" s="184"/>
      <c r="Y203" s="184"/>
      <c r="Z203" s="184"/>
      <c r="AA203" s="184"/>
      <c r="AB203" s="184"/>
      <c r="AC203" s="184"/>
      <c r="AD203" s="184"/>
      <c r="AE203" s="184"/>
      <c r="AF203" s="184"/>
      <c r="AG203" s="184"/>
      <c r="AH203" s="184"/>
      <c r="AI203" s="184"/>
      <c r="AJ203" s="184"/>
      <c r="AK203" s="184"/>
      <c r="AL203" s="184"/>
      <c r="AM203" s="184"/>
      <c r="AN203" s="184"/>
      <c r="AO203" s="184"/>
    </row>
    <row r="204" spans="1:41" ht="11.45" x14ac:dyDescent="0.2">
      <c r="A204" s="184"/>
      <c r="B204" s="184"/>
      <c r="C204" s="184"/>
      <c r="D204" s="184"/>
      <c r="E204" s="184"/>
      <c r="F204" s="184"/>
      <c r="G204" s="184"/>
      <c r="H204" s="184"/>
      <c r="I204" s="184"/>
      <c r="J204" s="184"/>
      <c r="K204" s="184"/>
      <c r="L204" s="184" t="s">
        <v>12</v>
      </c>
      <c r="M204" s="184"/>
      <c r="N204" s="198">
        <f>SUM(N202:N203)</f>
        <v>50000</v>
      </c>
      <c r="O204" s="198">
        <f t="shared" ref="O204:P204" si="36">SUM(O202:O203)</f>
        <v>0</v>
      </c>
      <c r="P204" s="198">
        <f t="shared" si="36"/>
        <v>0</v>
      </c>
      <c r="Q204" s="198"/>
      <c r="R204" s="198"/>
      <c r="S204" s="198">
        <f t="shared" si="35"/>
        <v>50000</v>
      </c>
      <c r="T204" s="184"/>
      <c r="U204" s="184"/>
      <c r="V204" s="184"/>
      <c r="W204" s="184"/>
      <c r="X204" s="184"/>
      <c r="Y204" s="184"/>
      <c r="Z204" s="184"/>
      <c r="AA204" s="184"/>
      <c r="AB204" s="184"/>
      <c r="AC204" s="184"/>
      <c r="AD204" s="184"/>
      <c r="AE204" s="184"/>
      <c r="AF204" s="184"/>
      <c r="AG204" s="184"/>
      <c r="AH204" s="184"/>
      <c r="AI204" s="184"/>
      <c r="AJ204" s="184"/>
      <c r="AK204" s="184"/>
      <c r="AL204" s="184"/>
      <c r="AM204" s="184"/>
      <c r="AN204" s="184"/>
      <c r="AO204" s="184"/>
    </row>
    <row r="205" spans="1:41" ht="11.45" x14ac:dyDescent="0.2">
      <c r="A205" s="184"/>
      <c r="B205" s="184"/>
      <c r="C205" s="184"/>
      <c r="D205" s="184"/>
      <c r="E205" s="184"/>
      <c r="F205" s="184"/>
      <c r="G205" s="184"/>
      <c r="H205" s="184"/>
      <c r="I205" s="184"/>
      <c r="J205" s="184"/>
      <c r="K205" s="184"/>
      <c r="L205" s="184"/>
      <c r="M205" s="184"/>
      <c r="N205" s="184"/>
      <c r="O205" s="184"/>
      <c r="P205" s="184"/>
      <c r="Q205" s="184"/>
      <c r="R205" s="184"/>
      <c r="S205" s="184"/>
      <c r="T205" s="184"/>
    </row>
    <row r="206" spans="1:41" ht="11.45" x14ac:dyDescent="0.2">
      <c r="A206" s="184"/>
      <c r="B206" s="184"/>
      <c r="C206" s="184"/>
      <c r="D206" s="184"/>
      <c r="E206" s="184"/>
      <c r="F206" s="184"/>
      <c r="G206" s="184"/>
      <c r="H206" s="184"/>
      <c r="I206" s="184"/>
      <c r="J206" s="184"/>
      <c r="K206" s="184"/>
      <c r="L206" s="184"/>
      <c r="M206" s="184"/>
      <c r="N206" s="184"/>
      <c r="O206" s="184"/>
      <c r="P206" s="184"/>
      <c r="Q206" s="184"/>
      <c r="R206" s="184"/>
      <c r="S206" s="184"/>
      <c r="T206" s="184"/>
    </row>
    <row r="207" spans="1:41" ht="11.45" x14ac:dyDescent="0.2">
      <c r="A207" s="184"/>
      <c r="B207" s="184"/>
      <c r="C207" s="184"/>
      <c r="D207" s="184"/>
      <c r="E207" s="184"/>
      <c r="F207" s="184"/>
      <c r="G207" s="184"/>
      <c r="H207" s="184"/>
      <c r="I207" s="184"/>
      <c r="J207" s="184"/>
      <c r="K207" s="184"/>
      <c r="L207" s="184"/>
      <c r="M207" s="184"/>
      <c r="N207" s="184"/>
      <c r="O207" s="184"/>
      <c r="P207" s="184"/>
      <c r="Q207" s="184"/>
      <c r="R207" s="184"/>
      <c r="S207" s="184"/>
      <c r="T207" s="184"/>
    </row>
    <row r="208" spans="1:41" ht="11.45" x14ac:dyDescent="0.2">
      <c r="A208" s="184"/>
      <c r="B208" s="184"/>
      <c r="C208" s="184"/>
      <c r="D208" s="184"/>
      <c r="E208" s="184"/>
      <c r="F208" s="184"/>
      <c r="G208" s="184"/>
      <c r="H208" s="184"/>
      <c r="I208" s="184"/>
      <c r="J208" s="184"/>
      <c r="K208" s="184"/>
      <c r="L208" s="184"/>
      <c r="M208" s="184"/>
      <c r="N208" s="184"/>
      <c r="O208" s="184"/>
      <c r="P208" s="184"/>
      <c r="Q208" s="184"/>
      <c r="R208" s="184"/>
      <c r="S208" s="184"/>
      <c r="T208" s="184"/>
    </row>
    <row r="209" spans="1:20" ht="11.45" x14ac:dyDescent="0.2">
      <c r="A209" s="184"/>
      <c r="B209" s="184"/>
      <c r="C209" s="184"/>
      <c r="D209" s="184"/>
      <c r="E209" s="184"/>
      <c r="F209" s="184"/>
      <c r="G209" s="184"/>
      <c r="H209" s="184"/>
      <c r="I209" s="184"/>
      <c r="J209" s="184"/>
      <c r="K209" s="184"/>
      <c r="L209" s="184"/>
      <c r="M209" s="184"/>
      <c r="N209" s="184"/>
      <c r="O209" s="184"/>
      <c r="P209" s="184"/>
      <c r="Q209" s="184"/>
      <c r="R209" s="184"/>
      <c r="S209" s="184"/>
      <c r="T209" s="184"/>
    </row>
    <row r="210" spans="1:20" ht="11.45" x14ac:dyDescent="0.2">
      <c r="A210" s="184"/>
      <c r="B210" s="184"/>
      <c r="C210" s="184"/>
      <c r="D210" s="184"/>
      <c r="E210" s="184"/>
      <c r="F210" s="184"/>
      <c r="G210" s="184"/>
      <c r="H210" s="184"/>
      <c r="I210" s="184"/>
      <c r="J210" s="184"/>
      <c r="K210" s="184"/>
      <c r="L210" s="184"/>
      <c r="M210" s="184"/>
      <c r="N210" s="184"/>
      <c r="O210" s="184"/>
      <c r="P210" s="184"/>
      <c r="Q210" s="184"/>
      <c r="R210" s="184"/>
      <c r="S210" s="184"/>
      <c r="T210" s="184"/>
    </row>
    <row r="211" spans="1:20" ht="11.45" x14ac:dyDescent="0.2">
      <c r="A211" s="184"/>
      <c r="B211" s="184"/>
      <c r="C211" s="184"/>
      <c r="D211" s="184"/>
      <c r="E211" s="184"/>
      <c r="F211" s="184"/>
      <c r="G211" s="184"/>
      <c r="H211" s="184"/>
      <c r="I211" s="184"/>
      <c r="J211" s="184"/>
      <c r="K211" s="184"/>
      <c r="L211" s="184"/>
      <c r="M211" s="184"/>
      <c r="N211" s="184"/>
      <c r="O211" s="184"/>
      <c r="P211" s="184"/>
      <c r="Q211" s="184"/>
      <c r="R211" s="184"/>
      <c r="S211" s="184"/>
      <c r="T211" s="184"/>
    </row>
    <row r="212" spans="1:20" ht="11.45" x14ac:dyDescent="0.2">
      <c r="A212" s="184"/>
      <c r="B212" s="184"/>
      <c r="C212" s="184"/>
      <c r="D212" s="184"/>
      <c r="E212" s="184"/>
      <c r="F212" s="184"/>
      <c r="G212" s="184"/>
      <c r="H212" s="184"/>
      <c r="I212" s="184"/>
      <c r="J212" s="184"/>
      <c r="K212" s="184"/>
      <c r="L212" s="184"/>
      <c r="M212" s="184"/>
      <c r="N212" s="184"/>
      <c r="O212" s="184"/>
      <c r="P212" s="184"/>
      <c r="Q212" s="184"/>
      <c r="R212" s="184"/>
      <c r="S212" s="184"/>
      <c r="T212" s="184"/>
    </row>
    <row r="213" spans="1:20" ht="11.45" x14ac:dyDescent="0.2">
      <c r="A213" s="184"/>
      <c r="B213" s="184"/>
      <c r="C213" s="184"/>
      <c r="D213" s="184"/>
      <c r="E213" s="184"/>
      <c r="F213" s="184"/>
      <c r="G213" s="184"/>
      <c r="H213" s="184"/>
      <c r="I213" s="184"/>
      <c r="J213" s="184"/>
      <c r="K213" s="184"/>
      <c r="L213" s="184"/>
      <c r="M213" s="184"/>
      <c r="N213" s="184"/>
      <c r="O213" s="184"/>
      <c r="P213" s="184"/>
      <c r="Q213" s="184"/>
      <c r="R213" s="184"/>
      <c r="S213" s="184"/>
      <c r="T213" s="184"/>
    </row>
    <row r="214" spans="1:20" x14ac:dyDescent="0.2">
      <c r="A214" s="184"/>
      <c r="B214" s="184"/>
      <c r="C214" s="184"/>
      <c r="D214" s="184"/>
      <c r="E214" s="184"/>
      <c r="F214" s="184"/>
      <c r="G214" s="184"/>
      <c r="H214" s="184"/>
      <c r="I214" s="184"/>
      <c r="J214" s="184"/>
      <c r="K214" s="184"/>
      <c r="L214" s="184"/>
      <c r="M214" s="184"/>
      <c r="N214" s="184"/>
      <c r="O214" s="184"/>
      <c r="P214" s="184"/>
      <c r="Q214" s="184"/>
      <c r="R214" s="184"/>
      <c r="S214" s="184"/>
      <c r="T214" s="184"/>
    </row>
    <row r="215" spans="1:20" x14ac:dyDescent="0.2">
      <c r="A215" s="184"/>
      <c r="B215" s="184"/>
      <c r="C215" s="184"/>
      <c r="D215" s="184"/>
      <c r="E215" s="184"/>
      <c r="F215" s="184"/>
      <c r="G215" s="184"/>
      <c r="H215" s="184"/>
      <c r="I215" s="184"/>
      <c r="J215" s="184"/>
      <c r="K215" s="184"/>
      <c r="L215" s="184"/>
      <c r="M215" s="184"/>
      <c r="N215" s="184"/>
      <c r="O215" s="184"/>
      <c r="P215" s="184"/>
      <c r="Q215" s="184"/>
      <c r="R215" s="184"/>
      <c r="S215" s="184"/>
      <c r="T215" s="184"/>
    </row>
    <row r="216" spans="1:20" x14ac:dyDescent="0.2">
      <c r="A216" s="184"/>
      <c r="B216" s="184"/>
      <c r="C216" s="184"/>
      <c r="D216" s="184"/>
      <c r="E216" s="184"/>
      <c r="F216" s="184"/>
      <c r="G216" s="184"/>
      <c r="H216" s="184"/>
      <c r="I216" s="184"/>
      <c r="J216" s="184"/>
      <c r="K216" s="184"/>
      <c r="L216" s="184"/>
      <c r="M216" s="184"/>
      <c r="N216" s="184"/>
      <c r="O216" s="184"/>
      <c r="P216" s="184"/>
      <c r="Q216" s="184"/>
      <c r="R216" s="184"/>
      <c r="S216" s="184"/>
      <c r="T216" s="184"/>
    </row>
    <row r="217" spans="1:20" x14ac:dyDescent="0.2">
      <c r="A217" s="184"/>
      <c r="B217" s="184"/>
      <c r="C217" s="184"/>
      <c r="D217" s="184"/>
      <c r="E217" s="184"/>
      <c r="F217" s="184"/>
      <c r="G217" s="184"/>
      <c r="H217" s="184"/>
      <c r="I217" s="184"/>
      <c r="J217" s="184"/>
      <c r="K217" s="184"/>
      <c r="L217" s="184"/>
      <c r="M217" s="184"/>
      <c r="N217" s="184"/>
      <c r="O217" s="184"/>
      <c r="P217" s="184"/>
      <c r="Q217" s="184"/>
      <c r="R217" s="184"/>
      <c r="S217" s="184"/>
      <c r="T217" s="184"/>
    </row>
    <row r="218" spans="1:20" x14ac:dyDescent="0.2">
      <c r="A218" s="184"/>
      <c r="B218" s="184"/>
      <c r="C218" s="184"/>
      <c r="D218" s="184"/>
      <c r="E218" s="184"/>
      <c r="F218" s="184"/>
      <c r="G218" s="184"/>
      <c r="H218" s="184"/>
      <c r="I218" s="184"/>
      <c r="J218" s="184"/>
      <c r="K218" s="184"/>
      <c r="L218" s="184"/>
      <c r="M218" s="184"/>
      <c r="N218" s="184"/>
      <c r="O218" s="184"/>
      <c r="P218" s="184"/>
      <c r="Q218" s="184"/>
      <c r="R218" s="184"/>
      <c r="S218" s="184"/>
      <c r="T218" s="184"/>
    </row>
    <row r="219" spans="1:20" x14ac:dyDescent="0.2">
      <c r="A219" s="184"/>
      <c r="B219" s="184"/>
      <c r="C219" s="184"/>
      <c r="D219" s="184"/>
      <c r="E219" s="184"/>
      <c r="F219" s="184"/>
      <c r="G219" s="184"/>
      <c r="H219" s="184"/>
      <c r="I219" s="184"/>
      <c r="J219" s="184"/>
      <c r="K219" s="184"/>
      <c r="L219" s="184"/>
      <c r="M219" s="184"/>
      <c r="N219" s="184"/>
      <c r="O219" s="184"/>
      <c r="P219" s="184"/>
      <c r="Q219" s="184"/>
      <c r="R219" s="184"/>
      <c r="S219" s="184"/>
      <c r="T219" s="184"/>
    </row>
    <row r="220" spans="1:20" x14ac:dyDescent="0.2">
      <c r="A220" s="184"/>
      <c r="B220" s="184"/>
      <c r="C220" s="184"/>
      <c r="D220" s="184"/>
      <c r="E220" s="184"/>
      <c r="F220" s="184"/>
      <c r="G220" s="184"/>
      <c r="H220" s="184"/>
      <c r="I220" s="184"/>
      <c r="J220" s="184"/>
      <c r="K220" s="184"/>
      <c r="L220" s="184"/>
      <c r="M220" s="184"/>
      <c r="N220" s="184"/>
      <c r="O220" s="184"/>
      <c r="P220" s="184"/>
      <c r="Q220" s="184"/>
      <c r="R220" s="184"/>
      <c r="S220" s="184"/>
      <c r="T220" s="184"/>
    </row>
    <row r="221" spans="1:20" x14ac:dyDescent="0.2">
      <c r="A221" s="184"/>
      <c r="B221" s="184"/>
      <c r="C221" s="184"/>
      <c r="D221" s="184"/>
      <c r="E221" s="184"/>
      <c r="F221" s="184"/>
      <c r="G221" s="184"/>
      <c r="H221" s="184"/>
      <c r="I221" s="184"/>
      <c r="J221" s="184"/>
      <c r="K221" s="184"/>
      <c r="L221" s="184"/>
      <c r="M221" s="184"/>
      <c r="N221" s="184"/>
      <c r="O221" s="184"/>
      <c r="P221" s="184"/>
      <c r="Q221" s="184"/>
      <c r="R221" s="184"/>
      <c r="S221" s="184"/>
      <c r="T221" s="184"/>
    </row>
    <row r="222" spans="1:20" x14ac:dyDescent="0.2">
      <c r="A222" s="184"/>
      <c r="B222" s="184"/>
      <c r="C222" s="184"/>
      <c r="D222" s="184"/>
      <c r="E222" s="184"/>
      <c r="F222" s="184"/>
      <c r="G222" s="184"/>
      <c r="H222" s="184"/>
      <c r="I222" s="184"/>
      <c r="J222" s="184"/>
      <c r="K222" s="184"/>
      <c r="L222" s="184"/>
      <c r="M222" s="184"/>
      <c r="N222" s="184"/>
      <c r="O222" s="184"/>
      <c r="P222" s="184"/>
      <c r="Q222" s="184"/>
      <c r="R222" s="184"/>
      <c r="S222" s="184"/>
      <c r="T222" s="184"/>
    </row>
    <row r="223" spans="1:20" x14ac:dyDescent="0.2">
      <c r="A223" s="184"/>
      <c r="B223" s="184"/>
      <c r="C223" s="184"/>
      <c r="D223" s="184"/>
      <c r="E223" s="184"/>
      <c r="F223" s="184"/>
      <c r="G223" s="184"/>
      <c r="H223" s="184"/>
      <c r="I223" s="184"/>
      <c r="J223" s="184"/>
      <c r="K223" s="184"/>
      <c r="L223" s="184"/>
      <c r="M223" s="184"/>
      <c r="N223" s="184"/>
      <c r="O223" s="184"/>
      <c r="P223" s="184"/>
      <c r="Q223" s="184"/>
      <c r="R223" s="184"/>
      <c r="S223" s="184"/>
      <c r="T223" s="184"/>
    </row>
    <row r="224" spans="1:20" x14ac:dyDescent="0.2">
      <c r="A224" s="184"/>
      <c r="B224" s="184"/>
      <c r="C224" s="184"/>
      <c r="D224" s="184"/>
      <c r="E224" s="184"/>
      <c r="F224" s="184"/>
      <c r="G224" s="184"/>
      <c r="H224" s="184"/>
      <c r="I224" s="184"/>
      <c r="J224" s="184"/>
      <c r="K224" s="184"/>
      <c r="L224" s="184"/>
      <c r="M224" s="184"/>
      <c r="N224" s="184"/>
      <c r="O224" s="184"/>
      <c r="P224" s="184"/>
      <c r="Q224" s="184"/>
      <c r="R224" s="184"/>
      <c r="S224" s="184"/>
      <c r="T224" s="184"/>
    </row>
    <row r="225" spans="1:20" x14ac:dyDescent="0.2">
      <c r="A225" s="184"/>
      <c r="B225" s="184"/>
      <c r="C225" s="184"/>
      <c r="D225" s="184"/>
      <c r="E225" s="184"/>
      <c r="F225" s="184"/>
      <c r="G225" s="184"/>
      <c r="H225" s="184"/>
      <c r="I225" s="184"/>
      <c r="J225" s="184"/>
      <c r="K225" s="184"/>
      <c r="L225" s="184"/>
      <c r="M225" s="184"/>
      <c r="N225" s="184"/>
      <c r="O225" s="184"/>
      <c r="P225" s="184"/>
      <c r="Q225" s="184"/>
      <c r="R225" s="184"/>
      <c r="S225" s="184"/>
      <c r="T225" s="184"/>
    </row>
    <row r="226" spans="1:20" x14ac:dyDescent="0.2">
      <c r="A226" s="184"/>
      <c r="B226" s="184"/>
      <c r="C226" s="184"/>
      <c r="D226" s="184"/>
      <c r="E226" s="184"/>
      <c r="F226" s="184"/>
      <c r="G226" s="184"/>
      <c r="H226" s="184"/>
      <c r="I226" s="184"/>
      <c r="J226" s="184"/>
      <c r="K226" s="184"/>
      <c r="L226" s="184"/>
      <c r="M226" s="184"/>
      <c r="N226" s="184"/>
      <c r="O226" s="184"/>
      <c r="P226" s="184"/>
      <c r="Q226" s="184"/>
      <c r="R226" s="184"/>
      <c r="S226" s="184"/>
      <c r="T226" s="184"/>
    </row>
    <row r="227" spans="1:20" x14ac:dyDescent="0.2">
      <c r="A227" s="184"/>
      <c r="B227" s="184"/>
      <c r="C227" s="184"/>
      <c r="D227" s="184"/>
      <c r="E227" s="184"/>
      <c r="F227" s="184"/>
      <c r="G227" s="184"/>
      <c r="H227" s="184"/>
      <c r="I227" s="184"/>
      <c r="J227" s="184"/>
      <c r="K227" s="184"/>
      <c r="L227" s="184"/>
      <c r="M227" s="184"/>
      <c r="N227" s="184"/>
      <c r="O227" s="184"/>
      <c r="P227" s="184"/>
      <c r="Q227" s="184"/>
      <c r="R227" s="184"/>
      <c r="S227" s="184"/>
      <c r="T227" s="184"/>
    </row>
    <row r="228" spans="1:20" x14ac:dyDescent="0.2">
      <c r="A228" s="184"/>
      <c r="B228" s="184"/>
      <c r="C228" s="184"/>
      <c r="D228" s="184"/>
      <c r="E228" s="184"/>
      <c r="F228" s="184"/>
      <c r="G228" s="184"/>
      <c r="H228" s="184"/>
      <c r="I228" s="184"/>
      <c r="J228" s="184"/>
      <c r="K228" s="184"/>
      <c r="L228" s="184"/>
      <c r="M228" s="184"/>
      <c r="N228" s="184"/>
      <c r="O228" s="184"/>
      <c r="P228" s="184"/>
      <c r="Q228" s="184"/>
      <c r="R228" s="184"/>
      <c r="S228" s="184"/>
      <c r="T228" s="184"/>
    </row>
    <row r="229" spans="1:20" x14ac:dyDescent="0.2">
      <c r="A229" s="184"/>
      <c r="B229" s="184"/>
      <c r="C229" s="184"/>
      <c r="D229" s="184"/>
      <c r="E229" s="184"/>
      <c r="F229" s="184"/>
      <c r="G229" s="184"/>
      <c r="H229" s="184"/>
      <c r="I229" s="184"/>
      <c r="J229" s="184"/>
      <c r="K229" s="184"/>
      <c r="L229" s="184"/>
      <c r="M229" s="184"/>
      <c r="N229" s="184"/>
      <c r="O229" s="184"/>
      <c r="P229" s="184"/>
      <c r="Q229" s="184"/>
      <c r="R229" s="184"/>
      <c r="S229" s="184"/>
      <c r="T229" s="184"/>
    </row>
    <row r="230" spans="1:20" x14ac:dyDescent="0.2">
      <c r="A230" s="184"/>
      <c r="B230" s="184"/>
      <c r="C230" s="184"/>
      <c r="D230" s="184"/>
      <c r="E230" s="184"/>
      <c r="F230" s="184"/>
      <c r="G230" s="184"/>
      <c r="H230" s="184"/>
      <c r="I230" s="184"/>
      <c r="J230" s="184"/>
      <c r="K230" s="184"/>
      <c r="L230" s="184"/>
      <c r="M230" s="184"/>
      <c r="N230" s="184"/>
      <c r="O230" s="184"/>
      <c r="P230" s="184"/>
      <c r="Q230" s="184"/>
      <c r="R230" s="184"/>
      <c r="S230" s="184"/>
      <c r="T230" s="184"/>
    </row>
    <row r="231" spans="1:20" x14ac:dyDescent="0.2">
      <c r="A231" s="184"/>
      <c r="B231" s="184"/>
      <c r="C231" s="184"/>
      <c r="D231" s="184"/>
      <c r="E231" s="184"/>
      <c r="F231" s="184"/>
      <c r="G231" s="184"/>
      <c r="H231" s="184"/>
      <c r="I231" s="184"/>
      <c r="J231" s="184"/>
      <c r="K231" s="184"/>
      <c r="L231" s="184"/>
      <c r="M231" s="184"/>
      <c r="N231" s="184"/>
      <c r="O231" s="184"/>
      <c r="P231" s="184"/>
      <c r="Q231" s="184"/>
      <c r="R231" s="184"/>
      <c r="S231" s="184"/>
      <c r="T231" s="184"/>
    </row>
    <row r="232" spans="1:20" x14ac:dyDescent="0.2">
      <c r="A232" s="184"/>
      <c r="B232" s="184"/>
      <c r="C232" s="184"/>
      <c r="D232" s="184"/>
      <c r="E232" s="184"/>
      <c r="F232" s="184"/>
      <c r="G232" s="184"/>
      <c r="H232" s="184"/>
      <c r="I232" s="184"/>
      <c r="J232" s="184"/>
      <c r="K232" s="184"/>
      <c r="L232" s="184"/>
      <c r="M232" s="184"/>
      <c r="N232" s="184"/>
      <c r="O232" s="184"/>
      <c r="P232" s="184"/>
      <c r="Q232" s="184"/>
      <c r="R232" s="184"/>
      <c r="S232" s="184"/>
      <c r="T232" s="184"/>
    </row>
    <row r="233" spans="1:20" x14ac:dyDescent="0.2">
      <c r="A233" s="184"/>
      <c r="B233" s="184"/>
      <c r="C233" s="184"/>
      <c r="D233" s="184"/>
      <c r="E233" s="184"/>
      <c r="F233" s="184"/>
      <c r="G233" s="184"/>
      <c r="H233" s="184"/>
      <c r="I233" s="184"/>
      <c r="J233" s="184"/>
      <c r="K233" s="184"/>
      <c r="L233" s="184"/>
      <c r="M233" s="184"/>
      <c r="N233" s="184"/>
      <c r="O233" s="184"/>
      <c r="P233" s="184"/>
      <c r="Q233" s="184"/>
      <c r="R233" s="184"/>
      <c r="S233" s="184"/>
      <c r="T233" s="184"/>
    </row>
    <row r="234" spans="1:20" x14ac:dyDescent="0.2">
      <c r="A234" s="184"/>
      <c r="B234" s="184"/>
      <c r="C234" s="184"/>
      <c r="D234" s="184"/>
      <c r="E234" s="184"/>
      <c r="F234" s="184"/>
      <c r="G234" s="184"/>
      <c r="H234" s="184"/>
      <c r="I234" s="184"/>
      <c r="J234" s="184"/>
      <c r="K234" s="184"/>
      <c r="L234" s="184"/>
      <c r="M234" s="184"/>
      <c r="N234" s="184"/>
      <c r="O234" s="184"/>
      <c r="P234" s="184"/>
      <c r="Q234" s="184"/>
      <c r="R234" s="184"/>
      <c r="S234" s="184"/>
      <c r="T234" s="184"/>
    </row>
    <row r="235" spans="1:20" x14ac:dyDescent="0.2">
      <c r="A235" s="184"/>
      <c r="B235" s="184"/>
      <c r="C235" s="184"/>
      <c r="D235" s="184"/>
      <c r="E235" s="184"/>
      <c r="F235" s="184"/>
      <c r="G235" s="184"/>
      <c r="H235" s="184"/>
      <c r="I235" s="184"/>
      <c r="J235" s="184"/>
      <c r="K235" s="184"/>
      <c r="L235" s="184"/>
      <c r="M235" s="184"/>
      <c r="N235" s="184"/>
      <c r="O235" s="184"/>
      <c r="P235" s="184"/>
      <c r="Q235" s="184"/>
      <c r="R235" s="184"/>
      <c r="S235" s="184"/>
      <c r="T235" s="184"/>
    </row>
    <row r="236" spans="1:20" x14ac:dyDescent="0.2">
      <c r="A236" s="184"/>
      <c r="B236" s="184"/>
      <c r="C236" s="184"/>
      <c r="D236" s="184"/>
      <c r="E236" s="184"/>
      <c r="F236" s="184"/>
      <c r="G236" s="184"/>
      <c r="H236" s="184"/>
      <c r="I236" s="184"/>
      <c r="J236" s="184"/>
      <c r="K236" s="184"/>
      <c r="L236" s="184"/>
      <c r="M236" s="184"/>
      <c r="N236" s="184"/>
      <c r="O236" s="184"/>
      <c r="P236" s="184"/>
      <c r="Q236" s="184"/>
      <c r="R236" s="184"/>
      <c r="S236" s="184"/>
      <c r="T236" s="184"/>
    </row>
    <row r="237" spans="1:20" x14ac:dyDescent="0.2">
      <c r="A237" s="184"/>
      <c r="B237" s="184"/>
      <c r="C237" s="184"/>
      <c r="D237" s="184"/>
      <c r="E237" s="184"/>
      <c r="F237" s="184"/>
      <c r="G237" s="184"/>
      <c r="H237" s="184"/>
      <c r="I237" s="184"/>
      <c r="J237" s="184"/>
      <c r="K237" s="184"/>
      <c r="L237" s="184"/>
      <c r="M237" s="184"/>
      <c r="N237" s="184"/>
      <c r="O237" s="184"/>
      <c r="P237" s="184"/>
      <c r="Q237" s="184"/>
      <c r="R237" s="184"/>
      <c r="S237" s="184"/>
      <c r="T237" s="184"/>
    </row>
    <row r="238" spans="1:20" x14ac:dyDescent="0.2">
      <c r="A238" s="184"/>
      <c r="B238" s="184"/>
      <c r="C238" s="184"/>
      <c r="D238" s="184"/>
      <c r="E238" s="184"/>
      <c r="F238" s="184"/>
      <c r="G238" s="184"/>
      <c r="H238" s="184"/>
      <c r="I238" s="184"/>
      <c r="J238" s="184"/>
      <c r="K238" s="184"/>
      <c r="L238" s="184"/>
      <c r="M238" s="184"/>
      <c r="N238" s="184"/>
      <c r="O238" s="184"/>
      <c r="P238" s="184"/>
      <c r="Q238" s="184"/>
      <c r="R238" s="184"/>
      <c r="S238" s="184"/>
      <c r="T238" s="184"/>
    </row>
    <row r="239" spans="1:20" x14ac:dyDescent="0.2">
      <c r="A239" s="184"/>
      <c r="B239" s="184"/>
      <c r="C239" s="184"/>
      <c r="D239" s="184"/>
      <c r="E239" s="184"/>
      <c r="F239" s="184"/>
      <c r="G239" s="184"/>
      <c r="H239" s="184"/>
      <c r="I239" s="184"/>
      <c r="J239" s="184"/>
      <c r="K239" s="184"/>
      <c r="L239" s="184"/>
      <c r="M239" s="184"/>
      <c r="N239" s="184"/>
      <c r="O239" s="184"/>
      <c r="P239" s="184"/>
      <c r="Q239" s="184"/>
      <c r="R239" s="184"/>
      <c r="S239" s="184"/>
      <c r="T239" s="184"/>
    </row>
    <row r="240" spans="1:20" x14ac:dyDescent="0.2">
      <c r="A240" s="184"/>
      <c r="B240" s="184"/>
      <c r="C240" s="184"/>
      <c r="D240" s="184"/>
      <c r="E240" s="184"/>
      <c r="F240" s="184"/>
      <c r="G240" s="184"/>
      <c r="H240" s="184"/>
      <c r="I240" s="184"/>
      <c r="J240" s="184"/>
      <c r="K240" s="184"/>
      <c r="L240" s="184"/>
      <c r="M240" s="184"/>
      <c r="N240" s="184"/>
      <c r="O240" s="184"/>
      <c r="P240" s="184"/>
      <c r="Q240" s="184"/>
      <c r="R240" s="184"/>
      <c r="S240" s="184"/>
      <c r="T240" s="184"/>
    </row>
    <row r="241" spans="1:20" x14ac:dyDescent="0.2">
      <c r="A241" s="184"/>
      <c r="B241" s="184"/>
      <c r="C241" s="184"/>
      <c r="D241" s="184"/>
      <c r="E241" s="184"/>
      <c r="F241" s="184"/>
      <c r="G241" s="184"/>
      <c r="H241" s="184"/>
      <c r="I241" s="184"/>
      <c r="J241" s="184"/>
      <c r="K241" s="184"/>
      <c r="L241" s="184"/>
      <c r="M241" s="184"/>
      <c r="N241" s="184"/>
      <c r="O241" s="184"/>
      <c r="P241" s="184"/>
      <c r="Q241" s="184"/>
      <c r="R241" s="184"/>
      <c r="S241" s="184"/>
      <c r="T241" s="184"/>
    </row>
    <row r="242" spans="1:20" x14ac:dyDescent="0.2">
      <c r="A242" s="184"/>
      <c r="B242" s="184"/>
      <c r="C242" s="184"/>
      <c r="D242" s="184"/>
      <c r="E242" s="184"/>
      <c r="F242" s="184"/>
      <c r="G242" s="184"/>
      <c r="H242" s="184"/>
      <c r="I242" s="184"/>
      <c r="J242" s="184"/>
      <c r="K242" s="184"/>
      <c r="L242" s="184"/>
      <c r="M242" s="184"/>
      <c r="N242" s="184"/>
      <c r="O242" s="184"/>
      <c r="P242" s="184"/>
      <c r="Q242" s="184"/>
      <c r="R242" s="184"/>
      <c r="S242" s="184"/>
      <c r="T242" s="184"/>
    </row>
    <row r="243" spans="1:20" x14ac:dyDescent="0.2">
      <c r="A243" s="184"/>
      <c r="B243" s="184"/>
      <c r="C243" s="184"/>
      <c r="D243" s="184"/>
      <c r="E243" s="184"/>
      <c r="F243" s="184"/>
      <c r="G243" s="184"/>
      <c r="H243" s="184"/>
      <c r="I243" s="184"/>
      <c r="J243" s="184"/>
      <c r="K243" s="184"/>
      <c r="L243" s="184"/>
      <c r="M243" s="184"/>
      <c r="N243" s="184"/>
      <c r="O243" s="184"/>
      <c r="P243" s="184"/>
      <c r="Q243" s="184"/>
      <c r="R243" s="184"/>
      <c r="S243" s="184"/>
      <c r="T243" s="184"/>
    </row>
    <row r="244" spans="1:20" x14ac:dyDescent="0.2">
      <c r="A244" s="184"/>
      <c r="B244" s="184"/>
      <c r="C244" s="184"/>
      <c r="D244" s="184"/>
      <c r="E244" s="184"/>
      <c r="F244" s="184"/>
      <c r="G244" s="184"/>
      <c r="H244" s="184"/>
      <c r="I244" s="184"/>
      <c r="J244" s="184"/>
      <c r="K244" s="184"/>
      <c r="L244" s="184"/>
      <c r="M244" s="184"/>
      <c r="N244" s="184"/>
      <c r="O244" s="184"/>
      <c r="P244" s="184"/>
      <c r="Q244" s="184"/>
      <c r="R244" s="184"/>
      <c r="S244" s="184"/>
      <c r="T244" s="184"/>
    </row>
    <row r="245" spans="1:20" x14ac:dyDescent="0.2">
      <c r="A245" s="184"/>
      <c r="B245" s="184"/>
      <c r="C245" s="184"/>
      <c r="D245" s="184"/>
      <c r="E245" s="184"/>
      <c r="F245" s="184"/>
      <c r="G245" s="184"/>
      <c r="H245" s="184"/>
      <c r="I245" s="184"/>
      <c r="J245" s="184"/>
      <c r="K245" s="184"/>
      <c r="L245" s="184"/>
      <c r="M245" s="184"/>
      <c r="N245" s="184"/>
      <c r="O245" s="184"/>
      <c r="P245" s="184"/>
      <c r="Q245" s="184"/>
      <c r="R245" s="184"/>
      <c r="S245" s="184"/>
      <c r="T245" s="184"/>
    </row>
    <row r="246" spans="1:20" x14ac:dyDescent="0.2">
      <c r="A246" s="184"/>
      <c r="B246" s="184"/>
      <c r="C246" s="184"/>
      <c r="D246" s="184"/>
      <c r="E246" s="184"/>
      <c r="F246" s="184"/>
      <c r="G246" s="184"/>
      <c r="H246" s="184"/>
      <c r="I246" s="184"/>
      <c r="J246" s="184"/>
      <c r="K246" s="184"/>
      <c r="L246" s="184"/>
      <c r="M246" s="184"/>
      <c r="N246" s="184"/>
      <c r="O246" s="184"/>
      <c r="P246" s="184"/>
      <c r="Q246" s="184"/>
      <c r="R246" s="184"/>
      <c r="S246" s="184"/>
      <c r="T246" s="184"/>
    </row>
    <row r="247" spans="1:20" x14ac:dyDescent="0.2">
      <c r="A247" s="184"/>
      <c r="B247" s="184"/>
      <c r="C247" s="184"/>
      <c r="D247" s="184"/>
      <c r="E247" s="184"/>
      <c r="F247" s="184"/>
      <c r="G247" s="184"/>
      <c r="H247" s="184"/>
      <c r="I247" s="184"/>
      <c r="J247" s="184"/>
      <c r="K247" s="184"/>
      <c r="L247" s="184"/>
      <c r="M247" s="184"/>
      <c r="N247" s="184"/>
      <c r="O247" s="184"/>
      <c r="P247" s="184"/>
      <c r="Q247" s="184"/>
      <c r="R247" s="184"/>
      <c r="S247" s="184"/>
      <c r="T247" s="184"/>
    </row>
    <row r="248" spans="1:20" x14ac:dyDescent="0.2">
      <c r="A248" s="184"/>
      <c r="B248" s="184"/>
      <c r="C248" s="184"/>
      <c r="D248" s="184"/>
      <c r="E248" s="184"/>
      <c r="F248" s="184"/>
      <c r="G248" s="184"/>
      <c r="H248" s="184"/>
      <c r="I248" s="184"/>
      <c r="J248" s="184"/>
      <c r="K248" s="184"/>
      <c r="L248" s="184"/>
      <c r="M248" s="184"/>
      <c r="N248" s="184"/>
      <c r="O248" s="184"/>
      <c r="P248" s="184"/>
      <c r="Q248" s="184"/>
      <c r="R248" s="184"/>
      <c r="S248" s="184"/>
      <c r="T248" s="184"/>
    </row>
    <row r="249" spans="1:20" x14ac:dyDescent="0.2">
      <c r="A249" s="184"/>
      <c r="B249" s="184"/>
      <c r="C249" s="184"/>
      <c r="D249" s="184"/>
      <c r="E249" s="184"/>
      <c r="F249" s="184"/>
      <c r="G249" s="184"/>
      <c r="H249" s="184"/>
      <c r="I249" s="184"/>
      <c r="J249" s="184"/>
      <c r="K249" s="184"/>
      <c r="L249" s="184"/>
      <c r="M249" s="184"/>
      <c r="N249" s="184"/>
      <c r="O249" s="184"/>
      <c r="P249" s="184"/>
      <c r="Q249" s="184"/>
      <c r="R249" s="184"/>
      <c r="S249" s="184"/>
      <c r="T249" s="184"/>
    </row>
    <row r="250" spans="1:20" x14ac:dyDescent="0.2">
      <c r="A250" s="184"/>
      <c r="B250" s="184"/>
      <c r="C250" s="184"/>
      <c r="D250" s="184"/>
      <c r="E250" s="184"/>
      <c r="F250" s="184"/>
      <c r="G250" s="184"/>
      <c r="H250" s="184"/>
      <c r="I250" s="184"/>
      <c r="J250" s="184"/>
      <c r="K250" s="184"/>
      <c r="L250" s="184"/>
      <c r="M250" s="184"/>
      <c r="N250" s="184"/>
      <c r="O250" s="184"/>
      <c r="P250" s="184"/>
      <c r="Q250" s="184"/>
      <c r="R250" s="184"/>
      <c r="S250" s="184"/>
      <c r="T250" s="184"/>
    </row>
    <row r="251" spans="1:20" x14ac:dyDescent="0.2">
      <c r="A251" s="184"/>
      <c r="B251" s="184"/>
      <c r="C251" s="184"/>
      <c r="D251" s="184"/>
      <c r="E251" s="184"/>
      <c r="F251" s="184"/>
      <c r="G251" s="184"/>
      <c r="H251" s="184"/>
      <c r="I251" s="184"/>
      <c r="J251" s="184"/>
      <c r="K251" s="184"/>
      <c r="L251" s="184"/>
      <c r="M251" s="184"/>
      <c r="N251" s="184"/>
      <c r="O251" s="184"/>
      <c r="P251" s="184"/>
      <c r="Q251" s="184"/>
      <c r="R251" s="184"/>
      <c r="S251" s="184"/>
      <c r="T251" s="184"/>
    </row>
    <row r="252" spans="1:20" x14ac:dyDescent="0.2">
      <c r="A252" s="184"/>
      <c r="B252" s="184"/>
      <c r="C252" s="184"/>
      <c r="D252" s="184"/>
      <c r="E252" s="184"/>
      <c r="F252" s="184"/>
      <c r="G252" s="184"/>
      <c r="H252" s="184"/>
      <c r="I252" s="184"/>
      <c r="J252" s="184"/>
      <c r="K252" s="184"/>
      <c r="L252" s="184"/>
      <c r="M252" s="184"/>
      <c r="N252" s="184"/>
      <c r="O252" s="184"/>
      <c r="P252" s="184"/>
      <c r="Q252" s="184"/>
      <c r="R252" s="184"/>
      <c r="S252" s="184"/>
      <c r="T252" s="184"/>
    </row>
    <row r="253" spans="1:20" x14ac:dyDescent="0.2">
      <c r="A253" s="184"/>
      <c r="B253" s="184"/>
      <c r="C253" s="184"/>
      <c r="D253" s="184"/>
      <c r="E253" s="184"/>
      <c r="F253" s="184"/>
      <c r="G253" s="184"/>
      <c r="H253" s="184"/>
      <c r="I253" s="184"/>
      <c r="J253" s="184"/>
      <c r="K253" s="184"/>
      <c r="L253" s="184"/>
      <c r="M253" s="184"/>
      <c r="N253" s="184"/>
      <c r="O253" s="184"/>
      <c r="P253" s="184"/>
      <c r="Q253" s="184"/>
      <c r="R253" s="184"/>
      <c r="S253" s="184"/>
      <c r="T253" s="184"/>
    </row>
    <row r="254" spans="1:20" x14ac:dyDescent="0.2">
      <c r="A254" s="184"/>
      <c r="B254" s="184"/>
      <c r="C254" s="184"/>
      <c r="D254" s="184"/>
      <c r="E254" s="184"/>
      <c r="F254" s="184"/>
      <c r="G254" s="184"/>
      <c r="H254" s="184"/>
      <c r="I254" s="184"/>
      <c r="J254" s="184"/>
      <c r="K254" s="184"/>
      <c r="L254" s="184"/>
      <c r="M254" s="184"/>
      <c r="N254" s="184"/>
      <c r="O254" s="184"/>
      <c r="P254" s="184"/>
      <c r="Q254" s="184"/>
      <c r="R254" s="184"/>
      <c r="S254" s="184"/>
      <c r="T254" s="184"/>
    </row>
    <row r="255" spans="1:20" x14ac:dyDescent="0.2">
      <c r="A255" s="184"/>
      <c r="B255" s="184"/>
      <c r="C255" s="184"/>
      <c r="D255" s="184"/>
      <c r="E255" s="184"/>
      <c r="F255" s="184"/>
      <c r="G255" s="184"/>
      <c r="H255" s="184"/>
      <c r="I255" s="184"/>
      <c r="J255" s="184"/>
      <c r="K255" s="184"/>
      <c r="L255" s="184"/>
      <c r="M255" s="184"/>
      <c r="N255" s="184"/>
      <c r="O255" s="184"/>
      <c r="P255" s="184"/>
      <c r="Q255" s="184"/>
      <c r="R255" s="184"/>
      <c r="S255" s="184"/>
      <c r="T255" s="184"/>
    </row>
    <row r="256" spans="1:20" x14ac:dyDescent="0.2">
      <c r="A256" s="184"/>
      <c r="B256" s="184"/>
      <c r="C256" s="184"/>
      <c r="D256" s="184"/>
      <c r="E256" s="184"/>
      <c r="F256" s="184"/>
      <c r="G256" s="184"/>
      <c r="H256" s="184"/>
      <c r="I256" s="184"/>
      <c r="J256" s="184"/>
      <c r="K256" s="184"/>
      <c r="L256" s="184"/>
      <c r="M256" s="184"/>
      <c r="N256" s="184"/>
      <c r="O256" s="184"/>
      <c r="P256" s="184"/>
      <c r="Q256" s="184"/>
      <c r="R256" s="184"/>
      <c r="S256" s="184"/>
      <c r="T256" s="184"/>
    </row>
    <row r="257" spans="1:20" x14ac:dyDescent="0.2">
      <c r="A257" s="184"/>
      <c r="B257" s="184"/>
      <c r="C257" s="184"/>
      <c r="D257" s="184"/>
      <c r="E257" s="184"/>
      <c r="F257" s="184"/>
      <c r="G257" s="184"/>
      <c r="H257" s="184"/>
      <c r="I257" s="184"/>
      <c r="J257" s="184"/>
      <c r="K257" s="184"/>
      <c r="L257" s="184"/>
      <c r="M257" s="184"/>
      <c r="N257" s="184"/>
      <c r="O257" s="184"/>
      <c r="P257" s="184"/>
      <c r="Q257" s="184"/>
      <c r="R257" s="184"/>
      <c r="S257" s="184"/>
      <c r="T257" s="184"/>
    </row>
    <row r="258" spans="1:20" x14ac:dyDescent="0.2">
      <c r="A258" s="184"/>
      <c r="B258" s="184"/>
      <c r="C258" s="184"/>
      <c r="D258" s="184"/>
      <c r="E258" s="184"/>
      <c r="F258" s="184"/>
      <c r="G258" s="184"/>
      <c r="H258" s="184"/>
      <c r="I258" s="184"/>
      <c r="J258" s="184"/>
      <c r="K258" s="184"/>
      <c r="L258" s="184"/>
      <c r="M258" s="184"/>
      <c r="N258" s="184"/>
      <c r="O258" s="184"/>
      <c r="P258" s="184"/>
      <c r="Q258" s="184"/>
      <c r="R258" s="184"/>
      <c r="S258" s="184"/>
      <c r="T258" s="184"/>
    </row>
    <row r="259" spans="1:20" x14ac:dyDescent="0.2">
      <c r="A259" s="184"/>
      <c r="B259" s="184"/>
      <c r="C259" s="184"/>
      <c r="D259" s="184"/>
      <c r="E259" s="184"/>
      <c r="F259" s="184"/>
      <c r="G259" s="184"/>
      <c r="H259" s="184"/>
      <c r="I259" s="184"/>
      <c r="J259" s="184"/>
      <c r="K259" s="184"/>
      <c r="L259" s="184"/>
      <c r="M259" s="184"/>
      <c r="N259" s="184"/>
      <c r="O259" s="184"/>
      <c r="P259" s="184"/>
      <c r="Q259" s="184"/>
      <c r="R259" s="184"/>
      <c r="S259" s="184"/>
      <c r="T259" s="184"/>
    </row>
    <row r="260" spans="1:20" x14ac:dyDescent="0.2">
      <c r="A260" s="184"/>
      <c r="B260" s="184"/>
      <c r="C260" s="184"/>
      <c r="D260" s="184"/>
      <c r="E260" s="184"/>
      <c r="F260" s="184"/>
      <c r="G260" s="184"/>
      <c r="H260" s="184"/>
      <c r="I260" s="184"/>
      <c r="J260" s="184"/>
      <c r="K260" s="184"/>
      <c r="L260" s="184"/>
      <c r="M260" s="184"/>
      <c r="N260" s="184"/>
      <c r="O260" s="184"/>
      <c r="P260" s="184"/>
      <c r="Q260" s="184"/>
      <c r="R260" s="184"/>
      <c r="S260" s="184"/>
      <c r="T260" s="184"/>
    </row>
    <row r="261" spans="1:20" x14ac:dyDescent="0.2">
      <c r="A261" s="184"/>
      <c r="B261" s="184"/>
      <c r="C261" s="184"/>
      <c r="D261" s="184"/>
      <c r="E261" s="184"/>
      <c r="F261" s="184"/>
      <c r="G261" s="184"/>
      <c r="H261" s="184"/>
      <c r="I261" s="184"/>
      <c r="J261" s="184"/>
      <c r="K261" s="184"/>
      <c r="L261" s="184"/>
      <c r="M261" s="184"/>
      <c r="N261" s="184"/>
      <c r="O261" s="184"/>
      <c r="P261" s="184"/>
      <c r="Q261" s="184"/>
      <c r="R261" s="184"/>
      <c r="S261" s="184"/>
      <c r="T261" s="184"/>
    </row>
    <row r="262" spans="1:20" x14ac:dyDescent="0.2">
      <c r="A262" s="184"/>
      <c r="B262" s="184"/>
      <c r="C262" s="184"/>
      <c r="D262" s="184"/>
      <c r="E262" s="184"/>
      <c r="F262" s="184"/>
      <c r="G262" s="184"/>
      <c r="H262" s="184"/>
      <c r="I262" s="184"/>
      <c r="J262" s="184"/>
      <c r="K262" s="184"/>
      <c r="L262" s="184"/>
      <c r="M262" s="184"/>
      <c r="N262" s="184"/>
      <c r="O262" s="184"/>
      <c r="P262" s="184"/>
      <c r="Q262" s="184"/>
      <c r="R262" s="184"/>
      <c r="S262" s="184"/>
      <c r="T262" s="184"/>
    </row>
    <row r="263" spans="1:20" x14ac:dyDescent="0.2">
      <c r="A263" s="184"/>
      <c r="B263" s="184"/>
      <c r="C263" s="184"/>
      <c r="D263" s="184"/>
      <c r="E263" s="184"/>
      <c r="F263" s="184"/>
      <c r="G263" s="184"/>
      <c r="H263" s="184"/>
      <c r="I263" s="184"/>
      <c r="J263" s="184"/>
      <c r="K263" s="184"/>
      <c r="L263" s="184"/>
      <c r="M263" s="184"/>
      <c r="N263" s="184"/>
      <c r="O263" s="184"/>
      <c r="P263" s="184"/>
      <c r="Q263" s="184"/>
      <c r="R263" s="184"/>
      <c r="S263" s="184"/>
      <c r="T263" s="184"/>
    </row>
    <row r="264" spans="1:20" x14ac:dyDescent="0.2">
      <c r="A264" s="184"/>
      <c r="B264" s="184"/>
      <c r="C264" s="184"/>
      <c r="D264" s="184"/>
      <c r="E264" s="184"/>
      <c r="F264" s="184"/>
      <c r="G264" s="184"/>
      <c r="H264" s="184"/>
      <c r="I264" s="184"/>
      <c r="J264" s="184"/>
      <c r="K264" s="184"/>
      <c r="L264" s="184"/>
      <c r="M264" s="184"/>
      <c r="N264" s="184"/>
      <c r="O264" s="184"/>
      <c r="P264" s="184"/>
      <c r="Q264" s="184"/>
      <c r="R264" s="184"/>
      <c r="S264" s="184"/>
      <c r="T264" s="184"/>
    </row>
    <row r="265" spans="1:20" x14ac:dyDescent="0.2">
      <c r="A265" s="184"/>
      <c r="B265" s="184"/>
      <c r="C265" s="184"/>
      <c r="D265" s="184"/>
      <c r="E265" s="184"/>
      <c r="F265" s="184"/>
      <c r="G265" s="184"/>
      <c r="H265" s="184"/>
      <c r="I265" s="184"/>
      <c r="J265" s="184"/>
      <c r="K265" s="184"/>
      <c r="L265" s="184"/>
      <c r="M265" s="184"/>
      <c r="N265" s="184"/>
      <c r="O265" s="184"/>
      <c r="P265" s="184"/>
      <c r="Q265" s="184"/>
      <c r="R265" s="184"/>
      <c r="S265" s="184"/>
      <c r="T265" s="184"/>
    </row>
    <row r="266" spans="1:20" x14ac:dyDescent="0.2">
      <c r="A266" s="184"/>
      <c r="B266" s="184"/>
      <c r="C266" s="184"/>
      <c r="D266" s="184"/>
      <c r="E266" s="184"/>
      <c r="F266" s="184"/>
      <c r="G266" s="184"/>
      <c r="H266" s="184"/>
      <c r="I266" s="184"/>
      <c r="J266" s="184"/>
      <c r="K266" s="184"/>
      <c r="L266" s="184"/>
      <c r="M266" s="184"/>
      <c r="N266" s="184"/>
      <c r="O266" s="184"/>
      <c r="P266" s="184"/>
      <c r="Q266" s="184"/>
      <c r="R266" s="184"/>
      <c r="S266" s="184"/>
      <c r="T266" s="184"/>
    </row>
    <row r="267" spans="1:20" x14ac:dyDescent="0.2">
      <c r="A267" s="184"/>
      <c r="B267" s="184"/>
      <c r="C267" s="184"/>
      <c r="D267" s="184"/>
      <c r="E267" s="184"/>
      <c r="F267" s="184"/>
      <c r="G267" s="184"/>
      <c r="H267" s="184"/>
      <c r="I267" s="184"/>
      <c r="J267" s="184"/>
      <c r="K267" s="184"/>
      <c r="L267" s="184"/>
      <c r="M267" s="184"/>
      <c r="N267" s="184"/>
      <c r="O267" s="184"/>
      <c r="P267" s="184"/>
      <c r="Q267" s="184"/>
      <c r="R267" s="184"/>
      <c r="S267" s="184"/>
      <c r="T267" s="184"/>
    </row>
    <row r="268" spans="1:20" x14ac:dyDescent="0.2">
      <c r="A268" s="184"/>
      <c r="B268" s="184"/>
      <c r="C268" s="184"/>
      <c r="D268" s="184"/>
      <c r="E268" s="184"/>
      <c r="F268" s="184"/>
      <c r="G268" s="184"/>
      <c r="H268" s="184"/>
      <c r="I268" s="184"/>
      <c r="J268" s="184"/>
      <c r="K268" s="184"/>
      <c r="L268" s="184"/>
      <c r="M268" s="184"/>
      <c r="N268" s="184"/>
      <c r="O268" s="184"/>
      <c r="P268" s="184"/>
      <c r="Q268" s="184"/>
      <c r="R268" s="184"/>
      <c r="S268" s="184"/>
      <c r="T268" s="184"/>
    </row>
    <row r="269" spans="1:20" x14ac:dyDescent="0.2">
      <c r="A269" s="184"/>
      <c r="B269" s="184"/>
      <c r="C269" s="184"/>
      <c r="D269" s="184"/>
      <c r="E269" s="184"/>
      <c r="F269" s="184"/>
      <c r="G269" s="184"/>
      <c r="H269" s="184"/>
      <c r="I269" s="184"/>
      <c r="J269" s="184"/>
      <c r="K269" s="184"/>
      <c r="L269" s="184"/>
      <c r="M269" s="184"/>
      <c r="N269" s="184"/>
      <c r="O269" s="184"/>
      <c r="P269" s="184"/>
      <c r="Q269" s="184"/>
      <c r="R269" s="184"/>
      <c r="S269" s="184"/>
      <c r="T269" s="184"/>
    </row>
    <row r="270" spans="1:20" x14ac:dyDescent="0.2">
      <c r="A270" s="184"/>
      <c r="B270" s="184"/>
      <c r="C270" s="184"/>
      <c r="D270" s="184"/>
      <c r="E270" s="184"/>
      <c r="F270" s="184"/>
      <c r="G270" s="184"/>
      <c r="H270" s="184"/>
      <c r="I270" s="184"/>
      <c r="J270" s="184"/>
      <c r="K270" s="184"/>
      <c r="L270" s="184"/>
      <c r="M270" s="184"/>
      <c r="N270" s="184"/>
      <c r="O270" s="184"/>
      <c r="P270" s="184"/>
      <c r="Q270" s="184"/>
      <c r="R270" s="184"/>
      <c r="S270" s="184"/>
      <c r="T270" s="184"/>
    </row>
    <row r="271" spans="1:20" x14ac:dyDescent="0.2">
      <c r="A271" s="184"/>
      <c r="B271" s="184"/>
      <c r="C271" s="184"/>
      <c r="D271" s="184"/>
      <c r="E271" s="184"/>
      <c r="F271" s="184"/>
      <c r="G271" s="184"/>
      <c r="H271" s="184"/>
      <c r="I271" s="184"/>
      <c r="J271" s="184"/>
      <c r="K271" s="184"/>
      <c r="L271" s="184"/>
      <c r="M271" s="184"/>
      <c r="N271" s="184"/>
      <c r="O271" s="184"/>
      <c r="P271" s="184"/>
      <c r="Q271" s="184"/>
      <c r="R271" s="184"/>
      <c r="S271" s="184"/>
      <c r="T271" s="184"/>
    </row>
    <row r="272" spans="1:20" x14ac:dyDescent="0.2">
      <c r="A272" s="184"/>
      <c r="B272" s="184"/>
      <c r="C272" s="184"/>
      <c r="D272" s="184"/>
      <c r="E272" s="184"/>
      <c r="F272" s="184"/>
      <c r="G272" s="184"/>
      <c r="H272" s="184"/>
      <c r="I272" s="184"/>
      <c r="J272" s="184"/>
      <c r="K272" s="184"/>
      <c r="L272" s="184"/>
      <c r="M272" s="184"/>
      <c r="N272" s="184"/>
      <c r="O272" s="184"/>
      <c r="P272" s="184"/>
      <c r="Q272" s="184"/>
      <c r="R272" s="184"/>
      <c r="S272" s="184"/>
      <c r="T272" s="184"/>
    </row>
    <row r="273" spans="1:20" x14ac:dyDescent="0.2">
      <c r="A273" s="184"/>
      <c r="B273" s="184"/>
      <c r="C273" s="184"/>
      <c r="D273" s="184"/>
      <c r="E273" s="184"/>
      <c r="F273" s="184"/>
      <c r="G273" s="184"/>
      <c r="H273" s="184"/>
      <c r="I273" s="184"/>
      <c r="J273" s="184"/>
      <c r="K273" s="184"/>
      <c r="L273" s="184"/>
      <c r="M273" s="184"/>
      <c r="N273" s="184"/>
      <c r="O273" s="184"/>
      <c r="P273" s="184"/>
      <c r="Q273" s="184"/>
      <c r="R273" s="184"/>
      <c r="S273" s="184"/>
      <c r="T273" s="184"/>
    </row>
    <row r="274" spans="1:20" x14ac:dyDescent="0.2">
      <c r="A274" s="184"/>
      <c r="B274" s="184"/>
      <c r="C274" s="184"/>
      <c r="D274" s="184"/>
      <c r="E274" s="184"/>
      <c r="F274" s="184"/>
      <c r="G274" s="184"/>
      <c r="H274" s="184"/>
      <c r="I274" s="184"/>
      <c r="J274" s="184"/>
      <c r="K274" s="184"/>
      <c r="L274" s="184"/>
      <c r="M274" s="184"/>
      <c r="N274" s="184"/>
      <c r="O274" s="184"/>
      <c r="P274" s="184"/>
      <c r="Q274" s="184"/>
      <c r="R274" s="184"/>
      <c r="S274" s="184"/>
      <c r="T274" s="184"/>
    </row>
    <row r="275" spans="1:20" x14ac:dyDescent="0.2">
      <c r="A275" s="184"/>
      <c r="B275" s="184"/>
      <c r="C275" s="184"/>
      <c r="D275" s="184"/>
      <c r="E275" s="184"/>
      <c r="F275" s="184"/>
      <c r="G275" s="184"/>
      <c r="H275" s="184"/>
      <c r="I275" s="184"/>
      <c r="J275" s="184"/>
      <c r="K275" s="184"/>
      <c r="L275" s="184"/>
      <c r="M275" s="184"/>
      <c r="N275" s="184"/>
      <c r="O275" s="184"/>
      <c r="P275" s="184"/>
      <c r="Q275" s="184"/>
      <c r="R275" s="184"/>
      <c r="S275" s="184"/>
      <c r="T275" s="184"/>
    </row>
    <row r="276" spans="1:20" x14ac:dyDescent="0.2">
      <c r="A276" s="184"/>
      <c r="B276" s="184"/>
      <c r="C276" s="184"/>
      <c r="D276" s="184"/>
      <c r="E276" s="184"/>
      <c r="F276" s="184"/>
      <c r="G276" s="184"/>
      <c r="H276" s="184"/>
      <c r="I276" s="184"/>
      <c r="J276" s="184"/>
      <c r="K276" s="184"/>
      <c r="L276" s="184"/>
      <c r="M276" s="184"/>
      <c r="N276" s="184"/>
      <c r="O276" s="184"/>
      <c r="P276" s="184"/>
      <c r="Q276" s="184"/>
      <c r="R276" s="184"/>
      <c r="S276" s="184"/>
      <c r="T276" s="184"/>
    </row>
    <row r="277" spans="1:20" x14ac:dyDescent="0.2">
      <c r="A277" s="184"/>
      <c r="B277" s="184"/>
      <c r="C277" s="184"/>
      <c r="D277" s="184"/>
      <c r="E277" s="184"/>
      <c r="F277" s="184"/>
      <c r="G277" s="184"/>
      <c r="H277" s="184"/>
      <c r="I277" s="184"/>
      <c r="J277" s="184"/>
      <c r="K277" s="184"/>
      <c r="L277" s="184"/>
      <c r="M277" s="184"/>
      <c r="N277" s="184"/>
      <c r="O277" s="184"/>
      <c r="P277" s="184"/>
      <c r="Q277" s="184"/>
      <c r="R277" s="184"/>
      <c r="S277" s="184"/>
      <c r="T277" s="184"/>
    </row>
    <row r="278" spans="1:20" x14ac:dyDescent="0.2">
      <c r="A278" s="184"/>
      <c r="B278" s="184"/>
      <c r="C278" s="184"/>
      <c r="D278" s="184"/>
      <c r="E278" s="184"/>
      <c r="F278" s="184"/>
      <c r="G278" s="184"/>
      <c r="H278" s="184"/>
      <c r="I278" s="184"/>
      <c r="J278" s="184"/>
      <c r="K278" s="184"/>
      <c r="L278" s="184"/>
      <c r="M278" s="184"/>
      <c r="N278" s="184"/>
      <c r="O278" s="184"/>
      <c r="P278" s="184"/>
      <c r="Q278" s="184"/>
      <c r="R278" s="184"/>
      <c r="S278" s="184"/>
      <c r="T278" s="184"/>
    </row>
    <row r="279" spans="1:20" x14ac:dyDescent="0.2">
      <c r="A279" s="184"/>
      <c r="B279" s="184"/>
      <c r="C279" s="184"/>
      <c r="D279" s="184"/>
      <c r="E279" s="184"/>
      <c r="F279" s="184"/>
      <c r="G279" s="184"/>
      <c r="H279" s="184"/>
      <c r="I279" s="184"/>
      <c r="J279" s="184"/>
      <c r="K279" s="184"/>
      <c r="L279" s="184"/>
      <c r="M279" s="184"/>
      <c r="N279" s="184"/>
      <c r="O279" s="184"/>
      <c r="P279" s="184"/>
      <c r="Q279" s="184"/>
      <c r="R279" s="184"/>
      <c r="S279" s="184"/>
      <c r="T279" s="184"/>
    </row>
    <row r="280" spans="1:20" x14ac:dyDescent="0.2">
      <c r="A280" s="184"/>
      <c r="B280" s="184"/>
      <c r="C280" s="184"/>
      <c r="D280" s="184"/>
      <c r="E280" s="184"/>
      <c r="F280" s="184"/>
      <c r="G280" s="184"/>
      <c r="H280" s="184"/>
      <c r="I280" s="184"/>
      <c r="J280" s="184"/>
      <c r="K280" s="184"/>
      <c r="L280" s="184"/>
      <c r="M280" s="184"/>
      <c r="N280" s="184"/>
      <c r="O280" s="184"/>
      <c r="P280" s="184"/>
      <c r="Q280" s="184"/>
      <c r="R280" s="184"/>
      <c r="S280" s="184"/>
      <c r="T280" s="184"/>
    </row>
    <row r="281" spans="1:20" x14ac:dyDescent="0.2">
      <c r="A281" s="184"/>
      <c r="B281" s="184"/>
      <c r="C281" s="184"/>
      <c r="D281" s="184"/>
      <c r="E281" s="184"/>
      <c r="F281" s="184"/>
      <c r="G281" s="184"/>
      <c r="H281" s="184"/>
      <c r="I281" s="184"/>
      <c r="J281" s="184"/>
      <c r="K281" s="184"/>
      <c r="L281" s="184"/>
      <c r="M281" s="184"/>
      <c r="N281" s="184"/>
      <c r="O281" s="184"/>
      <c r="P281" s="184"/>
      <c r="Q281" s="184"/>
      <c r="R281" s="184"/>
      <c r="S281" s="184"/>
      <c r="T281" s="184"/>
    </row>
    <row r="282" spans="1:20" x14ac:dyDescent="0.2">
      <c r="A282" s="184"/>
      <c r="B282" s="184"/>
      <c r="C282" s="184"/>
      <c r="D282" s="184"/>
      <c r="E282" s="184"/>
      <c r="F282" s="184"/>
      <c r="G282" s="184"/>
      <c r="H282" s="184"/>
      <c r="I282" s="184"/>
      <c r="J282" s="184"/>
      <c r="K282" s="184"/>
      <c r="L282" s="184"/>
      <c r="M282" s="184"/>
      <c r="N282" s="184"/>
      <c r="O282" s="184"/>
      <c r="P282" s="184"/>
      <c r="Q282" s="184"/>
      <c r="R282" s="184"/>
      <c r="S282" s="184"/>
      <c r="T282" s="184"/>
    </row>
    <row r="283" spans="1:20" x14ac:dyDescent="0.2">
      <c r="A283" s="184"/>
      <c r="B283" s="184"/>
      <c r="C283" s="184"/>
      <c r="D283" s="184"/>
      <c r="E283" s="184"/>
      <c r="F283" s="184"/>
      <c r="G283" s="184"/>
      <c r="H283" s="184"/>
      <c r="I283" s="184"/>
      <c r="J283" s="184"/>
      <c r="K283" s="184"/>
      <c r="L283" s="184"/>
      <c r="M283" s="184"/>
      <c r="N283" s="184"/>
      <c r="O283" s="184"/>
      <c r="P283" s="184"/>
      <c r="Q283" s="184"/>
      <c r="R283" s="184"/>
      <c r="S283" s="184"/>
      <c r="T283" s="184"/>
    </row>
    <row r="284" spans="1:20" x14ac:dyDescent="0.2">
      <c r="A284" s="184"/>
      <c r="B284" s="184"/>
      <c r="C284" s="184"/>
      <c r="D284" s="184"/>
      <c r="E284" s="184"/>
      <c r="F284" s="184"/>
      <c r="G284" s="184"/>
      <c r="H284" s="184"/>
      <c r="I284" s="184"/>
      <c r="J284" s="184"/>
      <c r="K284" s="184"/>
      <c r="L284" s="184"/>
      <c r="M284" s="184"/>
      <c r="N284" s="184"/>
      <c r="O284" s="184"/>
      <c r="P284" s="184"/>
      <c r="Q284" s="184"/>
      <c r="R284" s="184"/>
      <c r="S284" s="184"/>
      <c r="T284" s="184"/>
    </row>
    <row r="285" spans="1:20" x14ac:dyDescent="0.2">
      <c r="A285" s="184"/>
      <c r="B285" s="184"/>
      <c r="C285" s="184"/>
      <c r="D285" s="184"/>
      <c r="E285" s="184"/>
      <c r="F285" s="184"/>
      <c r="G285" s="184"/>
      <c r="H285" s="184"/>
      <c r="I285" s="184"/>
      <c r="J285" s="184"/>
      <c r="K285" s="184"/>
      <c r="L285" s="184"/>
      <c r="M285" s="184"/>
      <c r="N285" s="184"/>
      <c r="O285" s="184"/>
      <c r="P285" s="184"/>
      <c r="Q285" s="184"/>
      <c r="R285" s="184"/>
      <c r="S285" s="184"/>
      <c r="T285" s="184"/>
    </row>
    <row r="286" spans="1:20" x14ac:dyDescent="0.2">
      <c r="A286" s="184"/>
      <c r="B286" s="184"/>
      <c r="C286" s="184"/>
      <c r="D286" s="184"/>
      <c r="E286" s="184"/>
      <c r="F286" s="184"/>
      <c r="G286" s="184"/>
      <c r="H286" s="184"/>
      <c r="I286" s="184"/>
      <c r="J286" s="184"/>
      <c r="K286" s="184"/>
      <c r="L286" s="184"/>
      <c r="M286" s="184"/>
      <c r="N286" s="184"/>
      <c r="O286" s="184"/>
      <c r="P286" s="184"/>
      <c r="Q286" s="184"/>
      <c r="R286" s="184"/>
      <c r="S286" s="184"/>
      <c r="T286" s="184"/>
    </row>
    <row r="287" spans="1:20" x14ac:dyDescent="0.2">
      <c r="A287" s="184"/>
      <c r="B287" s="184"/>
      <c r="C287" s="184"/>
      <c r="D287" s="184"/>
      <c r="E287" s="184"/>
      <c r="F287" s="184"/>
      <c r="G287" s="184"/>
      <c r="H287" s="184"/>
      <c r="I287" s="184"/>
      <c r="J287" s="184"/>
      <c r="K287" s="184"/>
      <c r="L287" s="184"/>
      <c r="M287" s="184"/>
      <c r="N287" s="184"/>
      <c r="O287" s="184"/>
      <c r="P287" s="184"/>
      <c r="Q287" s="184"/>
      <c r="R287" s="184"/>
      <c r="S287" s="184"/>
      <c r="T287" s="184"/>
    </row>
    <row r="288" spans="1:20" x14ac:dyDescent="0.2">
      <c r="A288" s="184"/>
      <c r="B288" s="184"/>
      <c r="C288" s="184"/>
      <c r="D288" s="184"/>
      <c r="E288" s="184"/>
      <c r="F288" s="184"/>
      <c r="G288" s="184"/>
      <c r="H288" s="184"/>
      <c r="I288" s="184"/>
      <c r="J288" s="184"/>
      <c r="K288" s="184"/>
      <c r="L288" s="184"/>
      <c r="M288" s="184"/>
      <c r="N288" s="184"/>
      <c r="O288" s="184"/>
      <c r="P288" s="184"/>
      <c r="Q288" s="184"/>
      <c r="R288" s="184"/>
      <c r="S288" s="184"/>
      <c r="T288" s="184"/>
    </row>
    <row r="289" spans="1:20" x14ac:dyDescent="0.2">
      <c r="A289" s="184"/>
      <c r="B289" s="184"/>
      <c r="C289" s="184"/>
      <c r="D289" s="184"/>
      <c r="E289" s="184"/>
      <c r="F289" s="184"/>
      <c r="G289" s="184"/>
      <c r="H289" s="184"/>
      <c r="I289" s="184"/>
      <c r="J289" s="184"/>
      <c r="K289" s="184"/>
      <c r="L289" s="184"/>
      <c r="M289" s="184"/>
      <c r="N289" s="184"/>
      <c r="O289" s="184"/>
      <c r="P289" s="184"/>
      <c r="Q289" s="184"/>
      <c r="R289" s="184"/>
      <c r="S289" s="184"/>
      <c r="T289" s="184"/>
    </row>
    <row r="290" spans="1:20" x14ac:dyDescent="0.2">
      <c r="A290" s="184"/>
      <c r="B290" s="184"/>
      <c r="C290" s="184"/>
      <c r="D290" s="184"/>
      <c r="E290" s="184"/>
      <c r="F290" s="184"/>
      <c r="G290" s="184"/>
      <c r="H290" s="184"/>
      <c r="I290" s="184"/>
      <c r="J290" s="184"/>
      <c r="K290" s="184"/>
      <c r="L290" s="184"/>
      <c r="M290" s="184"/>
      <c r="N290" s="184"/>
      <c r="O290" s="184"/>
      <c r="P290" s="184"/>
      <c r="Q290" s="184"/>
      <c r="R290" s="184"/>
      <c r="S290" s="184"/>
      <c r="T290" s="184"/>
    </row>
    <row r="291" spans="1:20" x14ac:dyDescent="0.2">
      <c r="A291" s="184"/>
      <c r="B291" s="184"/>
      <c r="C291" s="184"/>
      <c r="D291" s="184"/>
      <c r="E291" s="184"/>
      <c r="F291" s="184"/>
      <c r="G291" s="184"/>
      <c r="H291" s="184"/>
      <c r="I291" s="184"/>
      <c r="J291" s="184"/>
      <c r="K291" s="184"/>
      <c r="L291" s="184"/>
      <c r="M291" s="184"/>
      <c r="N291" s="184"/>
      <c r="O291" s="184"/>
      <c r="P291" s="184"/>
      <c r="Q291" s="184"/>
      <c r="R291" s="184"/>
      <c r="S291" s="184"/>
      <c r="T291" s="184"/>
    </row>
    <row r="292" spans="1:20" x14ac:dyDescent="0.2">
      <c r="A292" s="184"/>
      <c r="B292" s="184"/>
      <c r="C292" s="184"/>
      <c r="D292" s="184"/>
      <c r="E292" s="184"/>
      <c r="F292" s="184"/>
      <c r="G292" s="184"/>
      <c r="H292" s="184"/>
      <c r="I292" s="184"/>
      <c r="J292" s="184"/>
      <c r="K292" s="184"/>
      <c r="L292" s="184"/>
      <c r="M292" s="184"/>
      <c r="N292" s="184"/>
      <c r="O292" s="184"/>
      <c r="P292" s="184"/>
      <c r="Q292" s="184"/>
      <c r="R292" s="184"/>
      <c r="S292" s="184"/>
      <c r="T292" s="184"/>
    </row>
    <row r="293" spans="1:20" x14ac:dyDescent="0.2">
      <c r="A293" s="184"/>
      <c r="B293" s="184"/>
      <c r="C293" s="184"/>
      <c r="D293" s="184"/>
      <c r="E293" s="184"/>
      <c r="F293" s="184"/>
      <c r="G293" s="184"/>
      <c r="H293" s="184"/>
      <c r="I293" s="184"/>
      <c r="J293" s="184"/>
      <c r="K293" s="184"/>
      <c r="L293" s="184"/>
      <c r="M293" s="184"/>
      <c r="N293" s="184"/>
      <c r="O293" s="184"/>
      <c r="P293" s="184"/>
      <c r="Q293" s="184"/>
      <c r="R293" s="184"/>
      <c r="S293" s="184"/>
      <c r="T293" s="184"/>
    </row>
    <row r="294" spans="1:20" x14ac:dyDescent="0.2">
      <c r="A294" s="184"/>
      <c r="B294" s="184"/>
      <c r="C294" s="184"/>
      <c r="D294" s="184"/>
      <c r="E294" s="184"/>
      <c r="F294" s="184"/>
      <c r="G294" s="184"/>
      <c r="H294" s="184"/>
      <c r="I294" s="184"/>
      <c r="J294" s="184"/>
      <c r="K294" s="184"/>
      <c r="L294" s="184"/>
      <c r="M294" s="184"/>
      <c r="N294" s="184"/>
      <c r="O294" s="184"/>
      <c r="P294" s="184"/>
      <c r="Q294" s="184"/>
      <c r="R294" s="184"/>
      <c r="S294" s="184"/>
      <c r="T294" s="184"/>
    </row>
    <row r="295" spans="1:20" x14ac:dyDescent="0.2">
      <c r="A295" s="184"/>
      <c r="B295" s="184"/>
      <c r="C295" s="184"/>
      <c r="D295" s="184"/>
      <c r="E295" s="184"/>
      <c r="F295" s="184"/>
      <c r="G295" s="184"/>
      <c r="H295" s="184"/>
      <c r="I295" s="184"/>
      <c r="J295" s="184"/>
      <c r="K295" s="184"/>
      <c r="L295" s="184"/>
      <c r="M295" s="184"/>
      <c r="N295" s="184"/>
      <c r="O295" s="184"/>
      <c r="P295" s="184"/>
      <c r="Q295" s="184"/>
      <c r="R295" s="184"/>
      <c r="S295" s="184"/>
      <c r="T295" s="184"/>
    </row>
    <row r="296" spans="1:20" x14ac:dyDescent="0.2">
      <c r="A296" s="184"/>
      <c r="B296" s="184"/>
      <c r="C296" s="184"/>
      <c r="D296" s="184"/>
      <c r="E296" s="184"/>
      <c r="F296" s="184"/>
      <c r="G296" s="184"/>
      <c r="H296" s="184"/>
      <c r="I296" s="184"/>
      <c r="J296" s="184"/>
      <c r="K296" s="184"/>
      <c r="L296" s="184"/>
      <c r="M296" s="184"/>
      <c r="N296" s="184"/>
      <c r="O296" s="184"/>
      <c r="P296" s="184"/>
      <c r="Q296" s="184"/>
      <c r="R296" s="184"/>
      <c r="S296" s="184"/>
      <c r="T296" s="184"/>
    </row>
    <row r="297" spans="1:20" x14ac:dyDescent="0.2">
      <c r="A297" s="184"/>
      <c r="B297" s="184"/>
      <c r="C297" s="184"/>
      <c r="D297" s="184"/>
      <c r="E297" s="184"/>
      <c r="F297" s="184"/>
      <c r="G297" s="184"/>
      <c r="H297" s="184"/>
      <c r="I297" s="184"/>
      <c r="J297" s="184"/>
      <c r="K297" s="184"/>
      <c r="L297" s="184"/>
      <c r="M297" s="184"/>
      <c r="N297" s="184"/>
      <c r="O297" s="184"/>
      <c r="P297" s="184"/>
      <c r="Q297" s="184"/>
      <c r="R297" s="184"/>
      <c r="S297" s="184"/>
      <c r="T297" s="184"/>
    </row>
    <row r="298" spans="1:20" x14ac:dyDescent="0.2">
      <c r="A298" s="184"/>
      <c r="B298" s="184"/>
      <c r="C298" s="184"/>
      <c r="D298" s="184"/>
      <c r="E298" s="184"/>
      <c r="F298" s="184"/>
      <c r="G298" s="184"/>
      <c r="H298" s="184"/>
      <c r="I298" s="184"/>
      <c r="J298" s="184"/>
      <c r="K298" s="184"/>
      <c r="L298" s="184"/>
      <c r="M298" s="184"/>
      <c r="N298" s="184"/>
      <c r="O298" s="184"/>
      <c r="P298" s="184"/>
      <c r="Q298" s="184"/>
      <c r="R298" s="184"/>
      <c r="S298" s="184"/>
      <c r="T298" s="184"/>
    </row>
    <row r="299" spans="1:20" x14ac:dyDescent="0.2">
      <c r="A299" s="184"/>
      <c r="B299" s="184"/>
      <c r="C299" s="184"/>
      <c r="D299" s="184"/>
      <c r="E299" s="184"/>
      <c r="F299" s="184"/>
      <c r="G299" s="184"/>
      <c r="H299" s="184"/>
      <c r="I299" s="184"/>
      <c r="J299" s="184"/>
      <c r="K299" s="184"/>
      <c r="L299" s="184"/>
      <c r="M299" s="184"/>
      <c r="N299" s="184"/>
      <c r="O299" s="184"/>
      <c r="P299" s="184"/>
      <c r="Q299" s="184"/>
      <c r="R299" s="184"/>
      <c r="S299" s="184"/>
      <c r="T299" s="184"/>
    </row>
    <row r="300" spans="1:20" x14ac:dyDescent="0.2">
      <c r="A300" s="184"/>
      <c r="B300" s="184"/>
      <c r="C300" s="184"/>
      <c r="D300" s="184"/>
      <c r="E300" s="184"/>
      <c r="F300" s="184"/>
      <c r="G300" s="184"/>
      <c r="H300" s="184"/>
      <c r="I300" s="184"/>
      <c r="J300" s="184"/>
      <c r="K300" s="184"/>
      <c r="L300" s="184"/>
      <c r="M300" s="184"/>
      <c r="N300" s="184"/>
      <c r="O300" s="184"/>
      <c r="P300" s="184"/>
      <c r="Q300" s="184"/>
      <c r="R300" s="184"/>
      <c r="S300" s="184"/>
      <c r="T300" s="184"/>
    </row>
    <row r="301" spans="1:20" x14ac:dyDescent="0.2">
      <c r="A301" s="184"/>
      <c r="B301" s="184"/>
      <c r="C301" s="184"/>
      <c r="D301" s="184"/>
      <c r="E301" s="184"/>
      <c r="F301" s="184"/>
      <c r="G301" s="184"/>
      <c r="H301" s="184"/>
      <c r="I301" s="184"/>
      <c r="J301" s="184"/>
      <c r="K301" s="184"/>
      <c r="L301" s="184"/>
      <c r="M301" s="184"/>
      <c r="N301" s="184"/>
      <c r="O301" s="184"/>
      <c r="P301" s="184"/>
      <c r="Q301" s="184"/>
      <c r="R301" s="184"/>
      <c r="S301" s="184"/>
      <c r="T301" s="184"/>
    </row>
    <row r="302" spans="1:20" x14ac:dyDescent="0.2">
      <c r="A302" s="184"/>
      <c r="B302" s="184"/>
      <c r="C302" s="184"/>
      <c r="D302" s="184"/>
      <c r="E302" s="184"/>
      <c r="F302" s="184"/>
      <c r="G302" s="184"/>
      <c r="H302" s="184"/>
      <c r="I302" s="184"/>
      <c r="J302" s="184"/>
      <c r="K302" s="184"/>
      <c r="L302" s="184"/>
      <c r="M302" s="184"/>
      <c r="N302" s="184"/>
      <c r="O302" s="184"/>
      <c r="P302" s="184"/>
      <c r="Q302" s="184"/>
      <c r="R302" s="184"/>
      <c r="S302" s="184"/>
      <c r="T302" s="184"/>
    </row>
    <row r="303" spans="1:20" x14ac:dyDescent="0.2">
      <c r="A303" s="184"/>
      <c r="B303" s="184"/>
      <c r="C303" s="184"/>
      <c r="D303" s="184"/>
      <c r="E303" s="184"/>
      <c r="F303" s="184"/>
      <c r="G303" s="184"/>
      <c r="H303" s="184"/>
      <c r="I303" s="184"/>
      <c r="J303" s="184"/>
      <c r="K303" s="184"/>
      <c r="L303" s="184"/>
      <c r="M303" s="184"/>
      <c r="N303" s="184"/>
      <c r="O303" s="184"/>
      <c r="P303" s="184"/>
      <c r="Q303" s="184"/>
      <c r="R303" s="184"/>
      <c r="S303" s="184"/>
      <c r="T303" s="184"/>
    </row>
    <row r="304" spans="1:20" x14ac:dyDescent="0.2">
      <c r="A304" s="184"/>
      <c r="B304" s="184"/>
      <c r="C304" s="184"/>
      <c r="D304" s="184"/>
      <c r="E304" s="184"/>
      <c r="F304" s="184"/>
      <c r="G304" s="184"/>
      <c r="H304" s="184"/>
      <c r="I304" s="184"/>
      <c r="J304" s="184"/>
      <c r="K304" s="184"/>
      <c r="L304" s="184"/>
      <c r="M304" s="184"/>
      <c r="N304" s="184"/>
      <c r="O304" s="184"/>
      <c r="P304" s="184"/>
      <c r="Q304" s="184"/>
      <c r="R304" s="184"/>
      <c r="S304" s="184"/>
      <c r="T304" s="184"/>
    </row>
    <row r="305" spans="1:20" x14ac:dyDescent="0.2">
      <c r="A305" s="184"/>
      <c r="B305" s="184"/>
      <c r="C305" s="184"/>
      <c r="D305" s="184"/>
      <c r="E305" s="184"/>
      <c r="F305" s="184"/>
      <c r="G305" s="184"/>
      <c r="H305" s="184"/>
      <c r="I305" s="184"/>
      <c r="J305" s="184"/>
      <c r="K305" s="184"/>
      <c r="L305" s="184"/>
      <c r="M305" s="184"/>
      <c r="N305" s="184"/>
      <c r="O305" s="184"/>
      <c r="P305" s="184"/>
      <c r="Q305" s="184"/>
      <c r="R305" s="184"/>
      <c r="S305" s="184"/>
      <c r="T305" s="184"/>
    </row>
    <row r="306" spans="1:20" x14ac:dyDescent="0.2">
      <c r="A306" s="184"/>
      <c r="B306" s="184"/>
      <c r="C306" s="184"/>
      <c r="D306" s="184"/>
      <c r="E306" s="184"/>
      <c r="F306" s="184"/>
      <c r="G306" s="184"/>
      <c r="H306" s="184"/>
      <c r="I306" s="184"/>
      <c r="J306" s="184"/>
      <c r="K306" s="184"/>
      <c r="L306" s="184"/>
      <c r="M306" s="184"/>
      <c r="N306" s="184"/>
      <c r="O306" s="184"/>
      <c r="P306" s="184"/>
      <c r="Q306" s="184"/>
      <c r="R306" s="184"/>
      <c r="S306" s="184"/>
      <c r="T306" s="184"/>
    </row>
    <row r="307" spans="1:20" x14ac:dyDescent="0.2">
      <c r="A307" s="184"/>
      <c r="B307" s="184"/>
      <c r="C307" s="184"/>
      <c r="D307" s="184"/>
      <c r="E307" s="184"/>
      <c r="F307" s="184"/>
      <c r="G307" s="184"/>
      <c r="H307" s="184"/>
      <c r="I307" s="184"/>
      <c r="J307" s="184"/>
      <c r="K307" s="184"/>
      <c r="L307" s="184"/>
      <c r="M307" s="184"/>
      <c r="N307" s="184"/>
      <c r="O307" s="184"/>
      <c r="P307" s="184"/>
      <c r="Q307" s="184"/>
      <c r="R307" s="184"/>
      <c r="S307" s="184"/>
      <c r="T307" s="184"/>
    </row>
    <row r="308" spans="1:20" x14ac:dyDescent="0.2">
      <c r="A308" s="184"/>
      <c r="B308" s="184"/>
      <c r="C308" s="184"/>
      <c r="D308" s="184"/>
      <c r="E308" s="184"/>
      <c r="F308" s="184"/>
      <c r="G308" s="184"/>
      <c r="H308" s="184"/>
      <c r="I308" s="184"/>
      <c r="J308" s="184"/>
      <c r="K308" s="184"/>
      <c r="L308" s="184"/>
      <c r="M308" s="184"/>
      <c r="N308" s="184"/>
      <c r="O308" s="184"/>
      <c r="P308" s="184"/>
      <c r="Q308" s="184"/>
      <c r="R308" s="184"/>
      <c r="S308" s="184"/>
      <c r="T308" s="184"/>
    </row>
    <row r="309" spans="1:20" x14ac:dyDescent="0.2">
      <c r="A309" s="184"/>
      <c r="B309" s="184"/>
      <c r="C309" s="184"/>
      <c r="D309" s="184"/>
      <c r="E309" s="184"/>
      <c r="F309" s="184"/>
      <c r="G309" s="184"/>
      <c r="H309" s="184"/>
      <c r="I309" s="184"/>
      <c r="J309" s="184"/>
      <c r="K309" s="184"/>
      <c r="L309" s="184"/>
      <c r="M309" s="184"/>
      <c r="N309" s="184"/>
      <c r="O309" s="184"/>
      <c r="P309" s="184"/>
      <c r="Q309" s="184"/>
      <c r="R309" s="184"/>
      <c r="S309" s="184"/>
      <c r="T309" s="184"/>
    </row>
    <row r="310" spans="1:20" x14ac:dyDescent="0.2">
      <c r="A310" s="184"/>
      <c r="B310" s="184"/>
      <c r="C310" s="184"/>
      <c r="D310" s="184"/>
      <c r="E310" s="184"/>
      <c r="F310" s="184"/>
      <c r="G310" s="184"/>
      <c r="H310" s="184"/>
      <c r="I310" s="184"/>
      <c r="J310" s="184"/>
      <c r="K310" s="184"/>
      <c r="L310" s="184"/>
      <c r="M310" s="184"/>
      <c r="N310" s="184"/>
      <c r="O310" s="184"/>
      <c r="P310" s="184"/>
      <c r="Q310" s="184"/>
      <c r="R310" s="184"/>
      <c r="S310" s="184"/>
      <c r="T310" s="184"/>
    </row>
    <row r="311" spans="1:20" x14ac:dyDescent="0.2">
      <c r="A311" s="184"/>
      <c r="B311" s="184"/>
      <c r="C311" s="184"/>
      <c r="D311" s="184"/>
      <c r="E311" s="184"/>
      <c r="F311" s="184"/>
      <c r="G311" s="184"/>
      <c r="H311" s="184"/>
      <c r="I311" s="184"/>
      <c r="J311" s="184"/>
      <c r="K311" s="184"/>
      <c r="L311" s="184"/>
      <c r="M311" s="184"/>
      <c r="N311" s="184"/>
      <c r="O311" s="184"/>
      <c r="P311" s="184"/>
      <c r="Q311" s="184"/>
      <c r="R311" s="184"/>
      <c r="S311" s="184"/>
      <c r="T311" s="184"/>
    </row>
    <row r="312" spans="1:20" x14ac:dyDescent="0.2">
      <c r="A312" s="184"/>
      <c r="B312" s="184"/>
      <c r="C312" s="184"/>
      <c r="D312" s="184"/>
      <c r="E312" s="184"/>
      <c r="F312" s="184"/>
      <c r="G312" s="184"/>
      <c r="H312" s="184"/>
      <c r="I312" s="184"/>
      <c r="J312" s="184"/>
      <c r="K312" s="184"/>
      <c r="L312" s="184"/>
      <c r="M312" s="184"/>
      <c r="N312" s="184"/>
      <c r="O312" s="184"/>
      <c r="P312" s="184"/>
      <c r="Q312" s="184"/>
      <c r="R312" s="184"/>
      <c r="S312" s="184"/>
      <c r="T312" s="184"/>
    </row>
    <row r="313" spans="1:20" x14ac:dyDescent="0.2">
      <c r="A313" s="184"/>
      <c r="B313" s="184"/>
      <c r="C313" s="184"/>
      <c r="D313" s="184"/>
      <c r="E313" s="184"/>
      <c r="F313" s="184"/>
      <c r="G313" s="184"/>
      <c r="H313" s="184"/>
      <c r="I313" s="184"/>
      <c r="J313" s="184"/>
      <c r="K313" s="184"/>
      <c r="L313" s="184"/>
      <c r="M313" s="184"/>
      <c r="N313" s="184"/>
      <c r="O313" s="184"/>
      <c r="P313" s="184"/>
      <c r="Q313" s="184"/>
      <c r="R313" s="184"/>
      <c r="S313" s="184"/>
      <c r="T313" s="184"/>
    </row>
    <row r="314" spans="1:20" x14ac:dyDescent="0.2">
      <c r="A314" s="184"/>
      <c r="B314" s="184"/>
      <c r="C314" s="184"/>
      <c r="D314" s="184"/>
      <c r="E314" s="184"/>
      <c r="F314" s="184"/>
      <c r="G314" s="184"/>
      <c r="H314" s="184"/>
      <c r="I314" s="184"/>
      <c r="J314" s="184"/>
      <c r="K314" s="184"/>
      <c r="L314" s="184"/>
      <c r="M314" s="184"/>
      <c r="N314" s="184"/>
      <c r="O314" s="184"/>
      <c r="P314" s="184"/>
      <c r="Q314" s="184"/>
      <c r="R314" s="184"/>
      <c r="S314" s="184"/>
      <c r="T314" s="184"/>
    </row>
    <row r="315" spans="1:20" x14ac:dyDescent="0.2">
      <c r="A315" s="184"/>
      <c r="B315" s="184"/>
      <c r="C315" s="184"/>
      <c r="D315" s="184"/>
      <c r="E315" s="184"/>
      <c r="F315" s="184"/>
      <c r="G315" s="184"/>
      <c r="H315" s="184"/>
      <c r="I315" s="184"/>
      <c r="J315" s="184"/>
      <c r="K315" s="184"/>
      <c r="L315" s="184"/>
      <c r="M315" s="184"/>
      <c r="N315" s="184"/>
      <c r="O315" s="184"/>
      <c r="P315" s="184"/>
      <c r="Q315" s="184"/>
      <c r="R315" s="184"/>
      <c r="S315" s="184"/>
      <c r="T315" s="184"/>
    </row>
    <row r="316" spans="1:20" x14ac:dyDescent="0.2">
      <c r="A316" s="184"/>
      <c r="B316" s="184"/>
      <c r="C316" s="184"/>
      <c r="D316" s="184"/>
      <c r="E316" s="184"/>
      <c r="F316" s="184"/>
      <c r="G316" s="184"/>
      <c r="H316" s="184"/>
      <c r="I316" s="184"/>
      <c r="J316" s="184"/>
      <c r="K316" s="184"/>
      <c r="L316" s="184"/>
      <c r="M316" s="184"/>
      <c r="N316" s="184"/>
      <c r="O316" s="184"/>
      <c r="P316" s="184"/>
      <c r="Q316" s="184"/>
      <c r="R316" s="184"/>
      <c r="S316" s="184"/>
      <c r="T316" s="184"/>
    </row>
    <row r="317" spans="1:20" x14ac:dyDescent="0.2">
      <c r="A317" s="184"/>
      <c r="B317" s="184"/>
      <c r="C317" s="184"/>
      <c r="D317" s="184"/>
      <c r="E317" s="184"/>
      <c r="F317" s="184"/>
      <c r="G317" s="184"/>
      <c r="H317" s="184"/>
      <c r="I317" s="184"/>
      <c r="J317" s="184"/>
      <c r="K317" s="184"/>
      <c r="L317" s="184"/>
      <c r="M317" s="184"/>
      <c r="N317" s="184"/>
      <c r="O317" s="184"/>
      <c r="P317" s="184"/>
      <c r="Q317" s="184"/>
      <c r="R317" s="184"/>
      <c r="S317" s="184"/>
      <c r="T317" s="184"/>
    </row>
    <row r="318" spans="1:20" x14ac:dyDescent="0.2">
      <c r="A318" s="184"/>
      <c r="B318" s="184"/>
      <c r="C318" s="184"/>
      <c r="D318" s="184"/>
      <c r="E318" s="184"/>
      <c r="F318" s="184"/>
      <c r="G318" s="184"/>
      <c r="H318" s="184"/>
      <c r="I318" s="184"/>
      <c r="J318" s="184"/>
      <c r="K318" s="184"/>
      <c r="L318" s="184"/>
      <c r="M318" s="184"/>
      <c r="N318" s="184"/>
      <c r="O318" s="184"/>
      <c r="P318" s="184"/>
      <c r="Q318" s="184"/>
      <c r="R318" s="184"/>
      <c r="S318" s="184"/>
      <c r="T318" s="184"/>
    </row>
    <row r="319" spans="1:20" x14ac:dyDescent="0.2">
      <c r="A319" s="184"/>
      <c r="B319" s="184"/>
      <c r="C319" s="184"/>
      <c r="D319" s="184"/>
      <c r="E319" s="184"/>
      <c r="F319" s="184"/>
      <c r="G319" s="184"/>
      <c r="H319" s="184"/>
      <c r="I319" s="184"/>
      <c r="J319" s="184"/>
      <c r="K319" s="184"/>
      <c r="L319" s="184"/>
      <c r="M319" s="184"/>
      <c r="N319" s="184"/>
      <c r="O319" s="184"/>
      <c r="P319" s="184"/>
      <c r="Q319" s="184"/>
      <c r="R319" s="184"/>
      <c r="S319" s="184"/>
      <c r="T319" s="184"/>
    </row>
    <row r="320" spans="1:20" x14ac:dyDescent="0.2">
      <c r="A320" s="184"/>
      <c r="B320" s="184"/>
      <c r="C320" s="184"/>
      <c r="D320" s="184"/>
      <c r="E320" s="184"/>
      <c r="F320" s="184"/>
      <c r="G320" s="184"/>
      <c r="H320" s="184"/>
      <c r="I320" s="184"/>
      <c r="J320" s="184"/>
      <c r="K320" s="184"/>
      <c r="L320" s="184"/>
      <c r="M320" s="184"/>
      <c r="N320" s="184"/>
      <c r="O320" s="184"/>
      <c r="P320" s="184"/>
      <c r="Q320" s="184"/>
      <c r="R320" s="184"/>
      <c r="S320" s="184"/>
      <c r="T320" s="184"/>
    </row>
    <row r="321" spans="1:20" x14ac:dyDescent="0.2">
      <c r="A321" s="184"/>
      <c r="B321" s="184"/>
      <c r="C321" s="184"/>
      <c r="D321" s="184"/>
      <c r="E321" s="184"/>
      <c r="F321" s="184"/>
      <c r="G321" s="184"/>
      <c r="H321" s="184"/>
      <c r="I321" s="184"/>
      <c r="J321" s="184"/>
      <c r="K321" s="184"/>
      <c r="L321" s="184"/>
      <c r="M321" s="184"/>
      <c r="N321" s="184"/>
      <c r="O321" s="184"/>
      <c r="P321" s="184"/>
      <c r="Q321" s="184"/>
      <c r="R321" s="184"/>
      <c r="S321" s="184"/>
      <c r="T321" s="184"/>
    </row>
    <row r="322" spans="1:20" x14ac:dyDescent="0.2">
      <c r="A322" s="184"/>
      <c r="B322" s="184"/>
      <c r="C322" s="184"/>
      <c r="D322" s="184"/>
      <c r="E322" s="184"/>
      <c r="F322" s="184"/>
      <c r="G322" s="184"/>
      <c r="H322" s="184"/>
      <c r="I322" s="184"/>
      <c r="J322" s="184"/>
      <c r="K322" s="184"/>
      <c r="L322" s="184"/>
      <c r="M322" s="184"/>
      <c r="N322" s="184"/>
      <c r="O322" s="184"/>
      <c r="P322" s="184"/>
      <c r="Q322" s="184"/>
      <c r="R322" s="184"/>
      <c r="S322" s="184"/>
      <c r="T322" s="184"/>
    </row>
    <row r="323" spans="1:20" x14ac:dyDescent="0.2">
      <c r="A323" s="184"/>
      <c r="B323" s="184"/>
      <c r="C323" s="184"/>
      <c r="D323" s="184"/>
      <c r="E323" s="184"/>
      <c r="F323" s="184"/>
      <c r="G323" s="184"/>
      <c r="H323" s="184"/>
      <c r="I323" s="184"/>
      <c r="J323" s="184"/>
      <c r="K323" s="184"/>
      <c r="L323" s="184"/>
      <c r="M323" s="184"/>
      <c r="N323" s="184"/>
      <c r="O323" s="184"/>
      <c r="P323" s="184"/>
      <c r="Q323" s="184"/>
      <c r="R323" s="184"/>
      <c r="S323" s="184"/>
      <c r="T323" s="184"/>
    </row>
    <row r="324" spans="1:20" x14ac:dyDescent="0.2">
      <c r="A324" s="184"/>
      <c r="B324" s="184"/>
      <c r="C324" s="184"/>
      <c r="D324" s="184"/>
      <c r="E324" s="184"/>
      <c r="F324" s="184"/>
      <c r="G324" s="184"/>
      <c r="H324" s="184"/>
      <c r="I324" s="184"/>
      <c r="J324" s="184"/>
      <c r="K324" s="184"/>
      <c r="L324" s="184"/>
      <c r="M324" s="184"/>
      <c r="N324" s="184"/>
      <c r="O324" s="184"/>
      <c r="P324" s="184"/>
      <c r="Q324" s="184"/>
      <c r="R324" s="184"/>
      <c r="S324" s="184"/>
      <c r="T324" s="184"/>
    </row>
    <row r="325" spans="1:20" x14ac:dyDescent="0.2">
      <c r="A325" s="184"/>
      <c r="B325" s="184"/>
      <c r="C325" s="184"/>
      <c r="D325" s="184"/>
      <c r="E325" s="184"/>
      <c r="F325" s="184"/>
      <c r="G325" s="184"/>
      <c r="H325" s="184"/>
      <c r="I325" s="184"/>
      <c r="J325" s="184"/>
      <c r="K325" s="184"/>
      <c r="L325" s="184"/>
      <c r="M325" s="184"/>
      <c r="N325" s="184"/>
      <c r="O325" s="184"/>
      <c r="P325" s="184"/>
      <c r="Q325" s="184"/>
      <c r="R325" s="184"/>
      <c r="S325" s="184"/>
      <c r="T325" s="184"/>
    </row>
    <row r="326" spans="1:20" x14ac:dyDescent="0.2">
      <c r="A326" s="184"/>
      <c r="B326" s="184"/>
      <c r="C326" s="184"/>
      <c r="D326" s="184"/>
      <c r="E326" s="184"/>
      <c r="F326" s="184"/>
      <c r="G326" s="184"/>
      <c r="H326" s="184"/>
      <c r="I326" s="184"/>
      <c r="J326" s="184"/>
      <c r="K326" s="184"/>
      <c r="L326" s="184"/>
      <c r="M326" s="184"/>
      <c r="N326" s="184"/>
      <c r="O326" s="184"/>
      <c r="P326" s="184"/>
      <c r="Q326" s="184"/>
      <c r="R326" s="184"/>
      <c r="S326" s="184"/>
      <c r="T326" s="184"/>
    </row>
    <row r="327" spans="1:20" x14ac:dyDescent="0.2">
      <c r="A327" s="184"/>
      <c r="B327" s="184"/>
      <c r="C327" s="184"/>
      <c r="D327" s="184"/>
      <c r="E327" s="184"/>
      <c r="F327" s="184"/>
      <c r="G327" s="184"/>
      <c r="H327" s="184"/>
      <c r="I327" s="184"/>
      <c r="J327" s="184"/>
      <c r="K327" s="184"/>
      <c r="L327" s="184"/>
      <c r="M327" s="184"/>
      <c r="N327" s="184"/>
      <c r="O327" s="184"/>
      <c r="P327" s="184"/>
      <c r="Q327" s="184"/>
      <c r="R327" s="184"/>
      <c r="S327" s="184"/>
      <c r="T327" s="184"/>
    </row>
    <row r="328" spans="1:20" x14ac:dyDescent="0.2">
      <c r="A328" s="184"/>
      <c r="B328" s="184"/>
      <c r="C328" s="184"/>
      <c r="D328" s="184"/>
      <c r="E328" s="184"/>
      <c r="F328" s="184"/>
      <c r="G328" s="184"/>
      <c r="H328" s="184"/>
      <c r="I328" s="184"/>
      <c r="J328" s="184"/>
      <c r="K328" s="184"/>
      <c r="L328" s="184"/>
      <c r="M328" s="184"/>
      <c r="N328" s="184"/>
      <c r="O328" s="184"/>
      <c r="P328" s="184"/>
      <c r="Q328" s="184"/>
      <c r="R328" s="184"/>
      <c r="S328" s="184"/>
      <c r="T328" s="184"/>
    </row>
    <row r="329" spans="1:20" x14ac:dyDescent="0.2">
      <c r="A329" s="184"/>
      <c r="B329" s="184"/>
      <c r="C329" s="184"/>
      <c r="D329" s="184"/>
      <c r="E329" s="184"/>
      <c r="F329" s="184"/>
      <c r="G329" s="184"/>
      <c r="H329" s="184"/>
      <c r="I329" s="184"/>
      <c r="J329" s="184"/>
      <c r="K329" s="184"/>
      <c r="L329" s="184"/>
      <c r="M329" s="184"/>
      <c r="N329" s="184"/>
      <c r="O329" s="184"/>
      <c r="P329" s="184"/>
      <c r="Q329" s="184"/>
      <c r="R329" s="184"/>
      <c r="S329" s="184"/>
      <c r="T329" s="184"/>
    </row>
    <row r="330" spans="1:20" x14ac:dyDescent="0.2">
      <c r="A330" s="184"/>
      <c r="B330" s="184"/>
      <c r="C330" s="184"/>
      <c r="D330" s="184"/>
      <c r="E330" s="184"/>
      <c r="F330" s="184"/>
      <c r="G330" s="184"/>
      <c r="H330" s="184"/>
      <c r="I330" s="184"/>
      <c r="J330" s="184"/>
      <c r="K330" s="184"/>
      <c r="L330" s="184"/>
      <c r="M330" s="184"/>
      <c r="N330" s="184"/>
      <c r="O330" s="184"/>
      <c r="P330" s="184"/>
      <c r="Q330" s="184"/>
      <c r="R330" s="184"/>
      <c r="S330" s="184"/>
      <c r="T330" s="184"/>
    </row>
    <row r="331" spans="1:20" x14ac:dyDescent="0.2">
      <c r="A331" s="184"/>
      <c r="B331" s="184"/>
      <c r="C331" s="184"/>
      <c r="D331" s="184"/>
      <c r="E331" s="184"/>
      <c r="F331" s="184"/>
      <c r="G331" s="184"/>
      <c r="H331" s="184"/>
      <c r="I331" s="184"/>
      <c r="J331" s="184"/>
      <c r="K331" s="184"/>
      <c r="L331" s="184"/>
      <c r="M331" s="184"/>
      <c r="N331" s="184"/>
      <c r="O331" s="184"/>
      <c r="P331" s="184"/>
      <c r="Q331" s="184"/>
      <c r="R331" s="184"/>
      <c r="S331" s="184"/>
      <c r="T331" s="184"/>
    </row>
    <row r="332" spans="1:20" x14ac:dyDescent="0.2">
      <c r="A332" s="184"/>
      <c r="B332" s="184"/>
      <c r="C332" s="184"/>
      <c r="D332" s="184"/>
      <c r="E332" s="184"/>
      <c r="F332" s="184"/>
      <c r="G332" s="184"/>
      <c r="H332" s="184"/>
      <c r="I332" s="184"/>
      <c r="J332" s="184"/>
      <c r="K332" s="184"/>
      <c r="L332" s="184"/>
      <c r="M332" s="184"/>
      <c r="N332" s="184"/>
      <c r="O332" s="184"/>
      <c r="P332" s="184"/>
      <c r="Q332" s="184"/>
      <c r="R332" s="184"/>
      <c r="S332" s="184"/>
      <c r="T332" s="184"/>
    </row>
    <row r="333" spans="1:20" x14ac:dyDescent="0.2">
      <c r="A333" s="184"/>
      <c r="B333" s="184"/>
      <c r="C333" s="184"/>
      <c r="D333" s="184"/>
      <c r="E333" s="184"/>
      <c r="F333" s="184"/>
      <c r="G333" s="184"/>
      <c r="H333" s="184"/>
      <c r="I333" s="184"/>
      <c r="J333" s="184"/>
      <c r="K333" s="184"/>
      <c r="L333" s="184"/>
      <c r="M333" s="184"/>
      <c r="N333" s="184"/>
      <c r="O333" s="184"/>
      <c r="P333" s="184"/>
      <c r="Q333" s="184"/>
      <c r="R333" s="184"/>
      <c r="S333" s="184"/>
      <c r="T333" s="184"/>
    </row>
    <row r="334" spans="1:20" x14ac:dyDescent="0.2">
      <c r="A334" s="184"/>
      <c r="B334" s="184"/>
      <c r="C334" s="184"/>
      <c r="D334" s="184"/>
      <c r="E334" s="184"/>
      <c r="F334" s="184"/>
      <c r="G334" s="184"/>
      <c r="H334" s="184"/>
      <c r="I334" s="184"/>
      <c r="J334" s="184"/>
      <c r="K334" s="184"/>
      <c r="L334" s="184"/>
      <c r="M334" s="184"/>
      <c r="N334" s="184"/>
      <c r="O334" s="184"/>
      <c r="P334" s="184"/>
      <c r="Q334" s="184"/>
      <c r="R334" s="184"/>
      <c r="S334" s="184"/>
      <c r="T334" s="184"/>
    </row>
    <row r="335" spans="1:20" x14ac:dyDescent="0.2">
      <c r="A335" s="184"/>
      <c r="B335" s="184"/>
      <c r="C335" s="184"/>
      <c r="D335" s="184"/>
      <c r="E335" s="184"/>
      <c r="F335" s="184"/>
      <c r="G335" s="184"/>
      <c r="H335" s="184"/>
      <c r="I335" s="184"/>
      <c r="J335" s="184"/>
      <c r="K335" s="184"/>
      <c r="L335" s="184"/>
      <c r="M335" s="184"/>
      <c r="N335" s="184"/>
      <c r="O335" s="184"/>
      <c r="P335" s="184"/>
      <c r="Q335" s="184"/>
      <c r="R335" s="184"/>
      <c r="S335" s="184"/>
      <c r="T335" s="184"/>
    </row>
    <row r="336" spans="1:20" x14ac:dyDescent="0.2">
      <c r="A336" s="184"/>
      <c r="B336" s="184"/>
      <c r="C336" s="184"/>
      <c r="D336" s="184"/>
      <c r="E336" s="184"/>
      <c r="F336" s="184"/>
      <c r="G336" s="184"/>
      <c r="H336" s="184"/>
      <c r="I336" s="184"/>
      <c r="J336" s="184"/>
      <c r="K336" s="184"/>
      <c r="L336" s="184"/>
      <c r="M336" s="184"/>
      <c r="N336" s="184"/>
      <c r="O336" s="184"/>
      <c r="P336" s="184"/>
      <c r="Q336" s="184"/>
      <c r="R336" s="184"/>
      <c r="S336" s="184"/>
      <c r="T336" s="184"/>
    </row>
    <row r="337" spans="1:20" x14ac:dyDescent="0.2">
      <c r="A337" s="184"/>
      <c r="B337" s="184"/>
      <c r="C337" s="184"/>
      <c r="D337" s="184"/>
      <c r="E337" s="184"/>
      <c r="F337" s="184"/>
      <c r="G337" s="184"/>
      <c r="H337" s="184"/>
      <c r="I337" s="184"/>
      <c r="J337" s="184"/>
      <c r="K337" s="184"/>
      <c r="L337" s="184"/>
      <c r="M337" s="184"/>
      <c r="N337" s="184"/>
      <c r="O337" s="184"/>
      <c r="P337" s="184"/>
      <c r="Q337" s="184"/>
      <c r="R337" s="184"/>
      <c r="S337" s="184"/>
      <c r="T337" s="184"/>
    </row>
    <row r="338" spans="1:20" x14ac:dyDescent="0.2">
      <c r="A338" s="184"/>
      <c r="B338" s="184"/>
      <c r="C338" s="184"/>
      <c r="D338" s="184"/>
      <c r="E338" s="184"/>
      <c r="F338" s="184"/>
      <c r="G338" s="184"/>
      <c r="H338" s="184"/>
      <c r="I338" s="184"/>
      <c r="J338" s="184"/>
      <c r="K338" s="184"/>
      <c r="L338" s="184"/>
      <c r="M338" s="184"/>
      <c r="N338" s="184"/>
      <c r="O338" s="184"/>
      <c r="P338" s="184"/>
      <c r="Q338" s="184"/>
      <c r="R338" s="184"/>
      <c r="S338" s="184"/>
      <c r="T338" s="184"/>
    </row>
    <row r="339" spans="1:20" x14ac:dyDescent="0.2">
      <c r="A339" s="184"/>
      <c r="B339" s="184"/>
      <c r="C339" s="184"/>
      <c r="D339" s="184"/>
      <c r="E339" s="184"/>
      <c r="F339" s="184"/>
      <c r="G339" s="184"/>
      <c r="H339" s="184"/>
      <c r="I339" s="184"/>
      <c r="J339" s="184"/>
      <c r="K339" s="184"/>
      <c r="L339" s="184"/>
      <c r="M339" s="184"/>
      <c r="N339" s="184"/>
      <c r="O339" s="184"/>
      <c r="P339" s="184"/>
      <c r="Q339" s="184"/>
      <c r="R339" s="184"/>
      <c r="S339" s="184"/>
      <c r="T339" s="184"/>
    </row>
    <row r="340" spans="1:20" x14ac:dyDescent="0.2">
      <c r="A340" s="184"/>
      <c r="B340" s="184"/>
      <c r="C340" s="184"/>
      <c r="D340" s="184"/>
      <c r="E340" s="184"/>
      <c r="F340" s="184"/>
      <c r="G340" s="184"/>
      <c r="H340" s="184"/>
      <c r="I340" s="184"/>
      <c r="J340" s="184"/>
      <c r="K340" s="184"/>
      <c r="L340" s="184"/>
      <c r="M340" s="184"/>
      <c r="N340" s="184"/>
      <c r="O340" s="184"/>
      <c r="P340" s="184"/>
      <c r="Q340" s="184"/>
      <c r="R340" s="184"/>
      <c r="S340" s="184"/>
      <c r="T340" s="184"/>
    </row>
    <row r="341" spans="1:20" x14ac:dyDescent="0.2">
      <c r="A341" s="184"/>
      <c r="B341" s="184"/>
      <c r="C341" s="184"/>
      <c r="D341" s="184"/>
      <c r="E341" s="184"/>
      <c r="F341" s="184"/>
      <c r="G341" s="184"/>
      <c r="H341" s="184"/>
      <c r="I341" s="184"/>
      <c r="J341" s="184"/>
      <c r="K341" s="184"/>
      <c r="L341" s="184"/>
      <c r="M341" s="184"/>
      <c r="N341" s="184"/>
      <c r="O341" s="184"/>
      <c r="P341" s="184"/>
      <c r="Q341" s="184"/>
      <c r="R341" s="184"/>
      <c r="S341" s="184"/>
      <c r="T341" s="184"/>
    </row>
    <row r="342" spans="1:20" x14ac:dyDescent="0.2">
      <c r="A342" s="184"/>
      <c r="B342" s="184"/>
      <c r="C342" s="184"/>
      <c r="D342" s="184"/>
      <c r="E342" s="184"/>
      <c r="F342" s="184"/>
      <c r="G342" s="184"/>
      <c r="H342" s="184"/>
      <c r="I342" s="184"/>
      <c r="J342" s="184"/>
      <c r="K342" s="184"/>
      <c r="L342" s="184"/>
      <c r="M342" s="184"/>
      <c r="N342" s="184"/>
      <c r="O342" s="184"/>
      <c r="P342" s="184"/>
      <c r="Q342" s="184"/>
      <c r="R342" s="184"/>
      <c r="S342" s="184"/>
      <c r="T342" s="184"/>
    </row>
    <row r="343" spans="1:20" x14ac:dyDescent="0.2">
      <c r="A343" s="184"/>
      <c r="B343" s="184"/>
      <c r="C343" s="184"/>
      <c r="D343" s="184"/>
      <c r="E343" s="184"/>
      <c r="F343" s="184"/>
      <c r="G343" s="184"/>
      <c r="H343" s="184"/>
      <c r="I343" s="184"/>
      <c r="J343" s="184"/>
      <c r="K343" s="184"/>
      <c r="L343" s="184"/>
      <c r="M343" s="184"/>
      <c r="N343" s="184"/>
      <c r="O343" s="184"/>
      <c r="P343" s="184"/>
      <c r="Q343" s="184"/>
      <c r="R343" s="184"/>
      <c r="S343" s="184"/>
      <c r="T343" s="184"/>
    </row>
    <row r="344" spans="1:20" x14ac:dyDescent="0.2">
      <c r="A344" s="184"/>
      <c r="B344" s="184"/>
      <c r="C344" s="184"/>
      <c r="D344" s="184"/>
      <c r="E344" s="184"/>
      <c r="F344" s="184"/>
      <c r="G344" s="184"/>
      <c r="H344" s="184"/>
      <c r="I344" s="184"/>
      <c r="J344" s="184"/>
      <c r="K344" s="184"/>
      <c r="L344" s="184"/>
      <c r="M344" s="184"/>
      <c r="N344" s="184"/>
      <c r="O344" s="184"/>
      <c r="P344" s="184"/>
      <c r="Q344" s="184"/>
      <c r="R344" s="184"/>
      <c r="S344" s="184"/>
      <c r="T344" s="184"/>
    </row>
    <row r="345" spans="1:20" x14ac:dyDescent="0.2">
      <c r="A345" s="184"/>
      <c r="B345" s="184"/>
      <c r="C345" s="184"/>
      <c r="D345" s="184"/>
      <c r="E345" s="184"/>
      <c r="F345" s="184"/>
      <c r="G345" s="184"/>
      <c r="H345" s="184"/>
      <c r="I345" s="184"/>
      <c r="J345" s="184"/>
      <c r="K345" s="184"/>
      <c r="L345" s="184"/>
      <c r="M345" s="184"/>
      <c r="N345" s="184"/>
      <c r="O345" s="184"/>
      <c r="P345" s="184"/>
      <c r="Q345" s="184"/>
      <c r="R345" s="184"/>
      <c r="S345" s="184"/>
      <c r="T345" s="184"/>
    </row>
    <row r="346" spans="1:20" x14ac:dyDescent="0.2">
      <c r="A346" s="184"/>
      <c r="B346" s="184"/>
      <c r="C346" s="184"/>
      <c r="D346" s="184"/>
      <c r="E346" s="184"/>
      <c r="F346" s="184"/>
      <c r="G346" s="184"/>
      <c r="H346" s="184"/>
      <c r="I346" s="184"/>
      <c r="J346" s="184"/>
      <c r="K346" s="184"/>
      <c r="L346" s="184"/>
      <c r="M346" s="184"/>
      <c r="N346" s="184"/>
      <c r="O346" s="184"/>
      <c r="P346" s="184"/>
      <c r="Q346" s="184"/>
      <c r="R346" s="184"/>
      <c r="S346" s="184"/>
      <c r="T346" s="184"/>
    </row>
    <row r="347" spans="1:20" x14ac:dyDescent="0.2">
      <c r="A347" s="184"/>
      <c r="B347" s="184"/>
      <c r="C347" s="184"/>
      <c r="D347" s="184"/>
      <c r="E347" s="184"/>
      <c r="F347" s="184"/>
      <c r="G347" s="184"/>
      <c r="H347" s="184"/>
      <c r="I347" s="184"/>
      <c r="J347" s="184"/>
      <c r="K347" s="184"/>
      <c r="L347" s="184"/>
      <c r="M347" s="184"/>
      <c r="N347" s="184"/>
      <c r="O347" s="184"/>
      <c r="P347" s="184"/>
      <c r="Q347" s="184"/>
      <c r="R347" s="184"/>
      <c r="S347" s="184"/>
      <c r="T347" s="184"/>
    </row>
    <row r="348" spans="1:20" x14ac:dyDescent="0.2">
      <c r="A348" s="184"/>
      <c r="B348" s="184"/>
      <c r="C348" s="184"/>
      <c r="D348" s="184"/>
      <c r="E348" s="184"/>
      <c r="F348" s="184"/>
      <c r="G348" s="184"/>
      <c r="H348" s="184"/>
      <c r="I348" s="184"/>
      <c r="J348" s="184"/>
      <c r="K348" s="184"/>
      <c r="L348" s="184"/>
      <c r="M348" s="184"/>
      <c r="N348" s="184"/>
      <c r="O348" s="184"/>
      <c r="P348" s="184"/>
      <c r="Q348" s="184"/>
      <c r="R348" s="184"/>
      <c r="S348" s="184"/>
      <c r="T348" s="184"/>
    </row>
    <row r="349" spans="1:20" x14ac:dyDescent="0.2">
      <c r="A349" s="184"/>
      <c r="B349" s="184"/>
      <c r="C349" s="184"/>
      <c r="D349" s="184"/>
      <c r="E349" s="184"/>
      <c r="F349" s="184"/>
      <c r="G349" s="184"/>
      <c r="H349" s="184"/>
      <c r="I349" s="184"/>
      <c r="J349" s="184"/>
      <c r="K349" s="184"/>
      <c r="L349" s="184"/>
      <c r="M349" s="184"/>
      <c r="N349" s="184"/>
      <c r="O349" s="184"/>
      <c r="P349" s="184"/>
      <c r="Q349" s="184"/>
      <c r="R349" s="184"/>
      <c r="S349" s="184"/>
      <c r="T349" s="184"/>
    </row>
    <row r="350" spans="1:20" x14ac:dyDescent="0.2">
      <c r="A350" s="184"/>
      <c r="B350" s="184"/>
      <c r="C350" s="184"/>
      <c r="D350" s="184"/>
      <c r="E350" s="184"/>
      <c r="F350" s="184"/>
      <c r="G350" s="184"/>
      <c r="H350" s="184"/>
      <c r="I350" s="184"/>
      <c r="J350" s="184"/>
      <c r="K350" s="184"/>
      <c r="L350" s="184"/>
      <c r="M350" s="184"/>
      <c r="N350" s="184"/>
      <c r="O350" s="184"/>
      <c r="P350" s="184"/>
      <c r="Q350" s="184"/>
      <c r="R350" s="184"/>
      <c r="S350" s="184"/>
      <c r="T350" s="184"/>
    </row>
    <row r="351" spans="1:20" x14ac:dyDescent="0.2">
      <c r="A351" s="184"/>
      <c r="B351" s="184"/>
      <c r="C351" s="184"/>
      <c r="D351" s="184"/>
      <c r="E351" s="184"/>
      <c r="F351" s="184"/>
      <c r="G351" s="184"/>
      <c r="H351" s="184"/>
      <c r="I351" s="184"/>
      <c r="J351" s="184"/>
      <c r="K351" s="184"/>
      <c r="L351" s="184"/>
      <c r="M351" s="184"/>
      <c r="N351" s="184"/>
      <c r="O351" s="184"/>
      <c r="P351" s="184"/>
      <c r="Q351" s="184"/>
      <c r="R351" s="184"/>
      <c r="S351" s="184"/>
      <c r="T351" s="184"/>
    </row>
    <row r="352" spans="1:20" x14ac:dyDescent="0.2">
      <c r="A352" s="184"/>
      <c r="B352" s="184"/>
      <c r="C352" s="184"/>
      <c r="D352" s="184"/>
      <c r="E352" s="184"/>
      <c r="F352" s="184"/>
      <c r="G352" s="184"/>
      <c r="H352" s="184"/>
      <c r="I352" s="184"/>
      <c r="J352" s="184"/>
      <c r="K352" s="184"/>
      <c r="L352" s="184"/>
      <c r="M352" s="184"/>
      <c r="N352" s="184"/>
      <c r="O352" s="184"/>
      <c r="P352" s="184"/>
      <c r="Q352" s="184"/>
      <c r="R352" s="184"/>
      <c r="S352" s="184"/>
      <c r="T352" s="184"/>
    </row>
    <row r="353" spans="1:20" x14ac:dyDescent="0.2">
      <c r="A353" s="184"/>
      <c r="B353" s="184"/>
      <c r="C353" s="184"/>
      <c r="D353" s="184"/>
      <c r="E353" s="184"/>
      <c r="F353" s="184"/>
      <c r="G353" s="184"/>
      <c r="H353" s="184"/>
      <c r="I353" s="184"/>
      <c r="J353" s="184"/>
      <c r="K353" s="184"/>
      <c r="L353" s="184"/>
      <c r="M353" s="184"/>
      <c r="N353" s="184"/>
      <c r="O353" s="184"/>
      <c r="P353" s="184"/>
      <c r="Q353" s="184"/>
      <c r="R353" s="184"/>
      <c r="S353" s="184"/>
      <c r="T353" s="184"/>
    </row>
    <row r="354" spans="1:20" x14ac:dyDescent="0.2">
      <c r="A354" s="184"/>
      <c r="B354" s="184"/>
      <c r="C354" s="184"/>
      <c r="D354" s="184"/>
      <c r="E354" s="184"/>
      <c r="F354" s="184"/>
      <c r="G354" s="184"/>
      <c r="H354" s="184"/>
      <c r="I354" s="184"/>
      <c r="J354" s="184"/>
      <c r="K354" s="184"/>
      <c r="L354" s="184"/>
      <c r="M354" s="184"/>
      <c r="N354" s="184"/>
      <c r="O354" s="184"/>
      <c r="P354" s="184"/>
      <c r="Q354" s="184"/>
      <c r="R354" s="184"/>
      <c r="S354" s="184"/>
      <c r="T354" s="184"/>
    </row>
    <row r="355" spans="1:20" x14ac:dyDescent="0.2">
      <c r="A355" s="184"/>
      <c r="B355" s="184"/>
      <c r="C355" s="184"/>
      <c r="D355" s="184"/>
      <c r="E355" s="184"/>
      <c r="F355" s="184"/>
      <c r="G355" s="184"/>
      <c r="H355" s="184"/>
      <c r="I355" s="184"/>
      <c r="J355" s="184"/>
      <c r="K355" s="184"/>
      <c r="L355" s="184"/>
      <c r="M355" s="184"/>
      <c r="N355" s="184"/>
      <c r="O355" s="184"/>
      <c r="P355" s="184"/>
      <c r="Q355" s="184"/>
      <c r="R355" s="184"/>
      <c r="S355" s="184"/>
      <c r="T355" s="184"/>
    </row>
    <row r="356" spans="1:20" x14ac:dyDescent="0.2">
      <c r="A356" s="184"/>
      <c r="B356" s="184"/>
      <c r="C356" s="184"/>
      <c r="D356" s="184"/>
      <c r="E356" s="184"/>
      <c r="F356" s="184"/>
      <c r="G356" s="184"/>
      <c r="H356" s="184"/>
      <c r="I356" s="184"/>
      <c r="J356" s="184"/>
      <c r="K356" s="184"/>
      <c r="L356" s="184"/>
      <c r="M356" s="184"/>
      <c r="N356" s="184"/>
      <c r="O356" s="184"/>
      <c r="P356" s="184"/>
      <c r="Q356" s="184"/>
      <c r="R356" s="184"/>
      <c r="S356" s="184"/>
      <c r="T356" s="184"/>
    </row>
    <row r="357" spans="1:20" x14ac:dyDescent="0.2">
      <c r="A357" s="184"/>
      <c r="B357" s="184"/>
      <c r="C357" s="184"/>
      <c r="D357" s="184"/>
      <c r="E357" s="184"/>
      <c r="F357" s="184"/>
      <c r="G357" s="184"/>
      <c r="H357" s="184"/>
      <c r="I357" s="184"/>
      <c r="J357" s="184"/>
      <c r="K357" s="184"/>
      <c r="L357" s="184"/>
      <c r="M357" s="184"/>
      <c r="N357" s="184"/>
      <c r="O357" s="184"/>
      <c r="P357" s="184"/>
      <c r="Q357" s="184"/>
      <c r="R357" s="184"/>
      <c r="S357" s="184"/>
      <c r="T357" s="184"/>
    </row>
    <row r="358" spans="1:20" x14ac:dyDescent="0.2">
      <c r="A358" s="184"/>
      <c r="B358" s="184"/>
      <c r="C358" s="184"/>
      <c r="D358" s="184"/>
      <c r="E358" s="184"/>
      <c r="F358" s="184"/>
      <c r="G358" s="184"/>
      <c r="H358" s="184"/>
      <c r="I358" s="184"/>
      <c r="J358" s="184"/>
      <c r="K358" s="184"/>
      <c r="L358" s="184"/>
      <c r="M358" s="184"/>
      <c r="N358" s="184"/>
      <c r="O358" s="184"/>
      <c r="P358" s="184"/>
      <c r="Q358" s="184"/>
      <c r="R358" s="184"/>
      <c r="S358" s="184"/>
      <c r="T358" s="184"/>
    </row>
    <row r="359" spans="1:20" x14ac:dyDescent="0.2">
      <c r="A359" s="184"/>
      <c r="B359" s="184"/>
      <c r="C359" s="184"/>
      <c r="D359" s="184"/>
      <c r="E359" s="184"/>
      <c r="F359" s="184"/>
      <c r="G359" s="184"/>
      <c r="H359" s="184"/>
      <c r="I359" s="184"/>
      <c r="J359" s="184"/>
      <c r="K359" s="184"/>
      <c r="L359" s="184"/>
      <c r="M359" s="184"/>
      <c r="N359" s="184"/>
      <c r="O359" s="184"/>
      <c r="P359" s="184"/>
      <c r="Q359" s="184"/>
      <c r="R359" s="184"/>
      <c r="S359" s="184"/>
      <c r="T359" s="184"/>
    </row>
    <row r="360" spans="1:20" x14ac:dyDescent="0.2">
      <c r="A360" s="184"/>
      <c r="B360" s="184"/>
      <c r="C360" s="184"/>
      <c r="D360" s="184"/>
      <c r="E360" s="184"/>
      <c r="F360" s="184"/>
      <c r="G360" s="184"/>
      <c r="H360" s="184"/>
      <c r="I360" s="184"/>
      <c r="J360" s="184"/>
      <c r="K360" s="184"/>
      <c r="L360" s="184"/>
      <c r="M360" s="184"/>
      <c r="N360" s="184"/>
      <c r="O360" s="184"/>
      <c r="P360" s="184"/>
      <c r="Q360" s="184"/>
      <c r="R360" s="184"/>
      <c r="S360" s="184"/>
      <c r="T360" s="184"/>
    </row>
    <row r="361" spans="1:20" x14ac:dyDescent="0.2">
      <c r="A361" s="184"/>
      <c r="B361" s="184"/>
      <c r="C361" s="184"/>
      <c r="D361" s="184"/>
      <c r="E361" s="184"/>
      <c r="F361" s="184"/>
      <c r="G361" s="184"/>
      <c r="H361" s="184"/>
      <c r="I361" s="184"/>
      <c r="J361" s="184"/>
      <c r="K361" s="184"/>
      <c r="L361" s="184"/>
      <c r="M361" s="184"/>
      <c r="N361" s="184"/>
      <c r="O361" s="184"/>
      <c r="P361" s="184"/>
      <c r="Q361" s="184"/>
      <c r="R361" s="184"/>
      <c r="S361" s="184"/>
      <c r="T361" s="184"/>
    </row>
    <row r="362" spans="1:20" x14ac:dyDescent="0.2">
      <c r="A362" s="184"/>
      <c r="B362" s="184"/>
      <c r="C362" s="184"/>
      <c r="D362" s="184"/>
      <c r="E362" s="184"/>
      <c r="F362" s="184"/>
      <c r="G362" s="184"/>
      <c r="H362" s="184"/>
      <c r="I362" s="184"/>
      <c r="J362" s="184"/>
      <c r="K362" s="184"/>
      <c r="L362" s="184"/>
      <c r="M362" s="184"/>
      <c r="N362" s="184"/>
      <c r="O362" s="184"/>
      <c r="P362" s="184"/>
      <c r="Q362" s="184"/>
      <c r="R362" s="184"/>
      <c r="S362" s="184"/>
      <c r="T362" s="184"/>
    </row>
    <row r="363" spans="1:20" x14ac:dyDescent="0.2">
      <c r="A363" s="184"/>
      <c r="B363" s="184"/>
      <c r="C363" s="184"/>
      <c r="D363" s="184"/>
      <c r="E363" s="184"/>
      <c r="F363" s="184"/>
      <c r="G363" s="184"/>
      <c r="H363" s="184"/>
      <c r="I363" s="184"/>
      <c r="J363" s="184"/>
      <c r="K363" s="184"/>
      <c r="L363" s="184"/>
      <c r="M363" s="184"/>
      <c r="N363" s="184"/>
      <c r="O363" s="184"/>
      <c r="P363" s="184"/>
      <c r="Q363" s="184"/>
      <c r="R363" s="184"/>
      <c r="S363" s="184"/>
      <c r="T363" s="184"/>
    </row>
    <row r="364" spans="1:20" x14ac:dyDescent="0.2">
      <c r="A364" s="184"/>
      <c r="B364" s="184"/>
      <c r="C364" s="184"/>
      <c r="D364" s="184"/>
      <c r="E364" s="184"/>
      <c r="F364" s="184"/>
      <c r="G364" s="184"/>
      <c r="H364" s="184"/>
      <c r="I364" s="184"/>
      <c r="J364" s="184"/>
      <c r="K364" s="184"/>
      <c r="L364" s="184"/>
      <c r="M364" s="184"/>
      <c r="N364" s="184"/>
      <c r="O364" s="184"/>
      <c r="P364" s="184"/>
      <c r="Q364" s="184"/>
      <c r="R364" s="184"/>
      <c r="S364" s="184"/>
      <c r="T364" s="184"/>
    </row>
    <row r="365" spans="1:20" x14ac:dyDescent="0.2">
      <c r="A365" s="184"/>
      <c r="B365" s="184"/>
      <c r="C365" s="184"/>
      <c r="D365" s="184"/>
      <c r="E365" s="184"/>
      <c r="F365" s="184"/>
      <c r="G365" s="184"/>
      <c r="H365" s="184"/>
      <c r="I365" s="184"/>
      <c r="J365" s="184"/>
      <c r="K365" s="184"/>
      <c r="L365" s="184"/>
      <c r="M365" s="184"/>
      <c r="N365" s="184"/>
      <c r="O365" s="184"/>
      <c r="P365" s="184"/>
      <c r="Q365" s="184"/>
      <c r="R365" s="184"/>
      <c r="S365" s="184"/>
      <c r="T365" s="184"/>
    </row>
    <row r="366" spans="1:20" x14ac:dyDescent="0.2">
      <c r="A366" s="184"/>
      <c r="B366" s="184"/>
      <c r="C366" s="184"/>
      <c r="D366" s="184"/>
      <c r="E366" s="184"/>
      <c r="F366" s="184"/>
      <c r="G366" s="184"/>
      <c r="H366" s="184"/>
      <c r="I366" s="184"/>
      <c r="J366" s="184"/>
      <c r="K366" s="184"/>
      <c r="L366" s="184"/>
      <c r="M366" s="184"/>
      <c r="N366" s="184"/>
      <c r="O366" s="184"/>
      <c r="P366" s="184"/>
      <c r="Q366" s="184"/>
      <c r="R366" s="184"/>
      <c r="S366" s="184"/>
      <c r="T366" s="184"/>
    </row>
    <row r="367" spans="1:20" x14ac:dyDescent="0.2">
      <c r="A367" s="184"/>
      <c r="B367" s="184"/>
      <c r="C367" s="184"/>
      <c r="D367" s="184"/>
      <c r="E367" s="184"/>
      <c r="F367" s="184"/>
      <c r="G367" s="184"/>
      <c r="H367" s="184"/>
      <c r="I367" s="184"/>
      <c r="J367" s="184"/>
      <c r="K367" s="184"/>
      <c r="L367" s="184"/>
      <c r="M367" s="184"/>
      <c r="N367" s="184"/>
      <c r="O367" s="184"/>
      <c r="P367" s="184"/>
      <c r="Q367" s="184"/>
      <c r="R367" s="184"/>
      <c r="S367" s="184"/>
      <c r="T367" s="184"/>
    </row>
    <row r="368" spans="1:20" x14ac:dyDescent="0.2">
      <c r="A368" s="184"/>
      <c r="B368" s="184"/>
      <c r="C368" s="184"/>
      <c r="D368" s="184"/>
      <c r="E368" s="184"/>
      <c r="F368" s="184"/>
      <c r="G368" s="184"/>
      <c r="H368" s="184"/>
      <c r="I368" s="184"/>
      <c r="J368" s="184"/>
      <c r="K368" s="184"/>
      <c r="L368" s="184"/>
      <c r="M368" s="184"/>
      <c r="N368" s="184"/>
      <c r="O368" s="184"/>
      <c r="P368" s="184"/>
      <c r="Q368" s="184"/>
      <c r="R368" s="184"/>
      <c r="S368" s="184"/>
      <c r="T368" s="184"/>
    </row>
    <row r="369" spans="1:20" x14ac:dyDescent="0.2">
      <c r="A369" s="184"/>
      <c r="B369" s="184"/>
      <c r="C369" s="184"/>
      <c r="D369" s="184"/>
      <c r="E369" s="184"/>
      <c r="F369" s="184"/>
      <c r="G369" s="184"/>
      <c r="H369" s="184"/>
      <c r="I369" s="184"/>
      <c r="J369" s="184"/>
      <c r="K369" s="184"/>
      <c r="L369" s="184"/>
      <c r="M369" s="184"/>
      <c r="N369" s="184"/>
      <c r="O369" s="184"/>
      <c r="P369" s="184"/>
      <c r="Q369" s="184"/>
      <c r="R369" s="184"/>
      <c r="S369" s="184"/>
      <c r="T369" s="184"/>
    </row>
    <row r="370" spans="1:20" x14ac:dyDescent="0.2">
      <c r="A370" s="184"/>
      <c r="B370" s="184"/>
      <c r="C370" s="184"/>
      <c r="D370" s="184"/>
      <c r="E370" s="184"/>
      <c r="F370" s="184"/>
      <c r="G370" s="184"/>
      <c r="H370" s="184"/>
      <c r="I370" s="184"/>
      <c r="J370" s="184"/>
      <c r="K370" s="184"/>
      <c r="L370" s="184"/>
      <c r="M370" s="184"/>
      <c r="N370" s="184"/>
      <c r="O370" s="184"/>
      <c r="P370" s="184"/>
      <c r="Q370" s="184"/>
      <c r="R370" s="184"/>
      <c r="S370" s="184"/>
      <c r="T370" s="184"/>
    </row>
    <row r="371" spans="1:20" x14ac:dyDescent="0.2">
      <c r="A371" s="184"/>
      <c r="B371" s="184"/>
      <c r="C371" s="184"/>
      <c r="D371" s="184"/>
      <c r="E371" s="184"/>
      <c r="F371" s="184"/>
      <c r="G371" s="184"/>
      <c r="H371" s="184"/>
      <c r="I371" s="184"/>
      <c r="J371" s="184"/>
      <c r="K371" s="184"/>
      <c r="L371" s="184"/>
      <c r="M371" s="184"/>
      <c r="N371" s="184"/>
      <c r="O371" s="184"/>
      <c r="P371" s="184"/>
      <c r="Q371" s="184"/>
      <c r="R371" s="184"/>
      <c r="S371" s="184"/>
      <c r="T371" s="184"/>
    </row>
    <row r="372" spans="1:20" x14ac:dyDescent="0.2">
      <c r="A372" s="184"/>
      <c r="B372" s="184"/>
      <c r="C372" s="184"/>
      <c r="D372" s="184"/>
      <c r="E372" s="184"/>
      <c r="F372" s="184"/>
      <c r="G372" s="184"/>
      <c r="H372" s="184"/>
      <c r="I372" s="184"/>
      <c r="J372" s="184"/>
      <c r="K372" s="184"/>
      <c r="L372" s="184"/>
      <c r="M372" s="184"/>
      <c r="N372" s="184"/>
      <c r="O372" s="184"/>
      <c r="P372" s="184"/>
      <c r="Q372" s="184"/>
      <c r="R372" s="184"/>
      <c r="S372" s="184"/>
      <c r="T372" s="184"/>
    </row>
    <row r="373" spans="1:20" x14ac:dyDescent="0.2">
      <c r="A373" s="184"/>
      <c r="B373" s="184"/>
      <c r="C373" s="184"/>
      <c r="D373" s="184"/>
      <c r="E373" s="184"/>
      <c r="F373" s="184"/>
      <c r="G373" s="184"/>
      <c r="H373" s="184"/>
      <c r="I373" s="184"/>
      <c r="J373" s="184"/>
      <c r="K373" s="184"/>
      <c r="L373" s="184"/>
      <c r="M373" s="184"/>
      <c r="N373" s="184"/>
      <c r="O373" s="184"/>
      <c r="P373" s="184"/>
      <c r="Q373" s="184"/>
      <c r="R373" s="184"/>
      <c r="S373" s="184"/>
      <c r="T373" s="184"/>
    </row>
    <row r="374" spans="1:20" x14ac:dyDescent="0.2">
      <c r="A374" s="184"/>
      <c r="B374" s="184"/>
      <c r="C374" s="184"/>
      <c r="D374" s="184"/>
      <c r="E374" s="184"/>
      <c r="F374" s="184"/>
      <c r="G374" s="184"/>
      <c r="H374" s="184"/>
      <c r="I374" s="184"/>
      <c r="J374" s="184"/>
      <c r="K374" s="184"/>
      <c r="L374" s="184"/>
      <c r="M374" s="184"/>
      <c r="N374" s="184"/>
      <c r="O374" s="184"/>
      <c r="P374" s="184"/>
      <c r="Q374" s="184"/>
      <c r="R374" s="184"/>
      <c r="S374" s="184"/>
      <c r="T374" s="184"/>
    </row>
    <row r="375" spans="1:20" x14ac:dyDescent="0.2">
      <c r="A375" s="184"/>
      <c r="B375" s="184"/>
      <c r="C375" s="184"/>
      <c r="D375" s="184"/>
      <c r="E375" s="184"/>
      <c r="F375" s="184"/>
      <c r="G375" s="184"/>
      <c r="H375" s="184"/>
      <c r="I375" s="184"/>
      <c r="J375" s="184"/>
      <c r="K375" s="184"/>
      <c r="L375" s="184"/>
      <c r="M375" s="184"/>
      <c r="N375" s="184"/>
      <c r="O375" s="184"/>
      <c r="P375" s="184"/>
      <c r="Q375" s="184"/>
      <c r="R375" s="184"/>
      <c r="S375" s="184"/>
      <c r="T375" s="184"/>
    </row>
    <row r="376" spans="1:20" x14ac:dyDescent="0.2">
      <c r="A376" s="184"/>
      <c r="B376" s="184"/>
      <c r="C376" s="184"/>
      <c r="D376" s="184"/>
      <c r="E376" s="184"/>
      <c r="F376" s="184"/>
      <c r="G376" s="184"/>
      <c r="H376" s="184"/>
      <c r="I376" s="184"/>
      <c r="J376" s="184"/>
      <c r="K376" s="184"/>
      <c r="L376" s="184"/>
      <c r="M376" s="184"/>
      <c r="N376" s="184"/>
      <c r="O376" s="184"/>
      <c r="P376" s="184"/>
      <c r="Q376" s="184"/>
      <c r="R376" s="184"/>
      <c r="S376" s="184"/>
      <c r="T376" s="184"/>
    </row>
    <row r="377" spans="1:20" x14ac:dyDescent="0.2">
      <c r="A377" s="184"/>
      <c r="B377" s="184"/>
      <c r="C377" s="184"/>
      <c r="D377" s="184"/>
      <c r="E377" s="184"/>
      <c r="F377" s="184"/>
      <c r="G377" s="184"/>
      <c r="H377" s="184"/>
      <c r="I377" s="184"/>
      <c r="J377" s="184"/>
      <c r="K377" s="184"/>
      <c r="L377" s="184"/>
      <c r="M377" s="184"/>
      <c r="N377" s="184"/>
      <c r="O377" s="184"/>
      <c r="P377" s="184"/>
      <c r="Q377" s="184"/>
      <c r="R377" s="184"/>
      <c r="S377" s="184"/>
      <c r="T377" s="184"/>
    </row>
    <row r="378" spans="1:20" x14ac:dyDescent="0.2">
      <c r="A378" s="184"/>
      <c r="B378" s="184"/>
      <c r="C378" s="184"/>
      <c r="D378" s="184"/>
      <c r="E378" s="184"/>
      <c r="F378" s="184"/>
      <c r="G378" s="184"/>
      <c r="H378" s="184"/>
      <c r="I378" s="184"/>
      <c r="J378" s="184"/>
      <c r="K378" s="184"/>
      <c r="L378" s="184"/>
      <c r="M378" s="184"/>
      <c r="N378" s="184"/>
      <c r="O378" s="184"/>
      <c r="P378" s="184"/>
      <c r="Q378" s="184"/>
      <c r="R378" s="184"/>
      <c r="S378" s="184"/>
      <c r="T378" s="184"/>
    </row>
    <row r="379" spans="1:20" x14ac:dyDescent="0.2">
      <c r="A379" s="184"/>
      <c r="B379" s="184"/>
      <c r="C379" s="184"/>
      <c r="D379" s="184"/>
      <c r="E379" s="184"/>
      <c r="F379" s="184"/>
      <c r="G379" s="184"/>
      <c r="H379" s="184"/>
      <c r="I379" s="184"/>
      <c r="J379" s="184"/>
      <c r="K379" s="184"/>
      <c r="L379" s="184"/>
      <c r="M379" s="184"/>
      <c r="N379" s="184"/>
      <c r="O379" s="184"/>
      <c r="P379" s="184"/>
      <c r="Q379" s="184"/>
      <c r="R379" s="184"/>
      <c r="S379" s="184"/>
      <c r="T379" s="184"/>
    </row>
  </sheetData>
  <sheetProtection formatCells="0" formatColumns="0" formatRows="0"/>
  <dataConsolidate/>
  <mergeCells count="228">
    <mergeCell ref="K129:M129"/>
    <mergeCell ref="K130:M130"/>
    <mergeCell ref="K131:M131"/>
    <mergeCell ref="A119:C119"/>
    <mergeCell ref="L48:M48"/>
    <mergeCell ref="L49:M49"/>
    <mergeCell ref="L50:M50"/>
    <mergeCell ref="L51:M51"/>
    <mergeCell ref="L52:M52"/>
    <mergeCell ref="P6:P7"/>
    <mergeCell ref="Q6:Q7"/>
    <mergeCell ref="R6:R7"/>
    <mergeCell ref="S6:S7"/>
    <mergeCell ref="K6:K7"/>
    <mergeCell ref="L6:L7"/>
    <mergeCell ref="M6:M7"/>
    <mergeCell ref="A117:C117"/>
    <mergeCell ref="K126:M126"/>
    <mergeCell ref="D151:E151"/>
    <mergeCell ref="D152:E152"/>
    <mergeCell ref="D153:E153"/>
    <mergeCell ref="D154:E154"/>
    <mergeCell ref="D155:E155"/>
    <mergeCell ref="D156:E156"/>
    <mergeCell ref="D157:E157"/>
    <mergeCell ref="O1:Q1"/>
    <mergeCell ref="A59:M59"/>
    <mergeCell ref="A60:M60"/>
    <mergeCell ref="J57:K57"/>
    <mergeCell ref="J58:K58"/>
    <mergeCell ref="J47:K47"/>
    <mergeCell ref="J48:K48"/>
    <mergeCell ref="J49:K49"/>
    <mergeCell ref="J50:K50"/>
    <mergeCell ref="J51:K51"/>
    <mergeCell ref="J52:K52"/>
    <mergeCell ref="L53:M53"/>
    <mergeCell ref="L54:M54"/>
    <mergeCell ref="L55:M55"/>
    <mergeCell ref="L56:M56"/>
    <mergeCell ref="L57:M57"/>
    <mergeCell ref="L58:M58"/>
    <mergeCell ref="F197:M197"/>
    <mergeCell ref="D197:E197"/>
    <mergeCell ref="G153:H153"/>
    <mergeCell ref="A161:C161"/>
    <mergeCell ref="A162:C162"/>
    <mergeCell ref="G154:H154"/>
    <mergeCell ref="G155:H155"/>
    <mergeCell ref="G156:H156"/>
    <mergeCell ref="G157:H157"/>
    <mergeCell ref="G158:H158"/>
    <mergeCell ref="G159:H159"/>
    <mergeCell ref="G160:H160"/>
    <mergeCell ref="D160:E160"/>
    <mergeCell ref="A153:C153"/>
    <mergeCell ref="A154:C154"/>
    <mergeCell ref="G162:H162"/>
    <mergeCell ref="D161:E161"/>
    <mergeCell ref="D162:E162"/>
    <mergeCell ref="I163:M163"/>
    <mergeCell ref="H58:I58"/>
    <mergeCell ref="H47:I47"/>
    <mergeCell ref="H48:I48"/>
    <mergeCell ref="H49:I49"/>
    <mergeCell ref="H50:I50"/>
    <mergeCell ref="H51:I51"/>
    <mergeCell ref="H52:I52"/>
    <mergeCell ref="H42:I42"/>
    <mergeCell ref="H43:I43"/>
    <mergeCell ref="H44:I44"/>
    <mergeCell ref="H45:I45"/>
    <mergeCell ref="H46:I46"/>
    <mergeCell ref="H55:I55"/>
    <mergeCell ref="H56:I56"/>
    <mergeCell ref="F56:G56"/>
    <mergeCell ref="L35:M35"/>
    <mergeCell ref="L36:M36"/>
    <mergeCell ref="L37:M37"/>
    <mergeCell ref="L38:M38"/>
    <mergeCell ref="L39:M39"/>
    <mergeCell ref="L40:M40"/>
    <mergeCell ref="H57:I57"/>
    <mergeCell ref="J35:K35"/>
    <mergeCell ref="J36:K36"/>
    <mergeCell ref="J37:K37"/>
    <mergeCell ref="J38:K38"/>
    <mergeCell ref="L47:M47"/>
    <mergeCell ref="L41:M41"/>
    <mergeCell ref="L42:M42"/>
    <mergeCell ref="L43:M43"/>
    <mergeCell ref="L44:M44"/>
    <mergeCell ref="L45:M45"/>
    <mergeCell ref="L46:M46"/>
    <mergeCell ref="F35:G35"/>
    <mergeCell ref="H35:I35"/>
    <mergeCell ref="H39:I39"/>
    <mergeCell ref="H54:I54"/>
    <mergeCell ref="J42:K42"/>
    <mergeCell ref="J43:K43"/>
    <mergeCell ref="J44:K44"/>
    <mergeCell ref="J45:K45"/>
    <mergeCell ref="J46:K46"/>
    <mergeCell ref="J53:K53"/>
    <mergeCell ref="J54:K54"/>
    <mergeCell ref="J55:K55"/>
    <mergeCell ref="F43:G43"/>
    <mergeCell ref="J56:K56"/>
    <mergeCell ref="H53:I53"/>
    <mergeCell ref="A151:C151"/>
    <mergeCell ref="A152:C152"/>
    <mergeCell ref="P4:Q4"/>
    <mergeCell ref="B42:C42"/>
    <mergeCell ref="A32:M32"/>
    <mergeCell ref="F34:G34"/>
    <mergeCell ref="F6:J6"/>
    <mergeCell ref="B35:C35"/>
    <mergeCell ref="B36:C36"/>
    <mergeCell ref="B37:C37"/>
    <mergeCell ref="B38:C38"/>
    <mergeCell ref="B39:C39"/>
    <mergeCell ref="A34:C34"/>
    <mergeCell ref="L34:M34"/>
    <mergeCell ref="B40:C40"/>
    <mergeCell ref="B41:C41"/>
    <mergeCell ref="J34:K34"/>
    <mergeCell ref="F36:G36"/>
    <mergeCell ref="F37:G37"/>
    <mergeCell ref="G152:H152"/>
    <mergeCell ref="F42:G42"/>
    <mergeCell ref="H34:I34"/>
    <mergeCell ref="F49:G49"/>
    <mergeCell ref="F50:G50"/>
    <mergeCell ref="F51:G51"/>
    <mergeCell ref="F52:G52"/>
    <mergeCell ref="F53:G53"/>
    <mergeCell ref="F54:G54"/>
    <mergeCell ref="F55:G55"/>
    <mergeCell ref="F44:G44"/>
    <mergeCell ref="F45:G45"/>
    <mergeCell ref="F46:G46"/>
    <mergeCell ref="D150:E150"/>
    <mergeCell ref="A150:C150"/>
    <mergeCell ref="A148:C148"/>
    <mergeCell ref="G150:H150"/>
    <mergeCell ref="A136:M136"/>
    <mergeCell ref="K134:M134"/>
    <mergeCell ref="A62:C62"/>
    <mergeCell ref="A72:C72"/>
    <mergeCell ref="A74:C74"/>
    <mergeCell ref="A85:C85"/>
    <mergeCell ref="K119:M119"/>
    <mergeCell ref="K120:M120"/>
    <mergeCell ref="K121:M121"/>
    <mergeCell ref="K122:M122"/>
    <mergeCell ref="K123:M123"/>
    <mergeCell ref="K124:M124"/>
    <mergeCell ref="K125:M125"/>
    <mergeCell ref="A135:C135"/>
    <mergeCell ref="K74:M74"/>
    <mergeCell ref="K132:M132"/>
    <mergeCell ref="K133:M133"/>
    <mergeCell ref="A87:C87"/>
    <mergeCell ref="K127:M127"/>
    <mergeCell ref="K128:M128"/>
    <mergeCell ref="F38:G38"/>
    <mergeCell ref="F39:G39"/>
    <mergeCell ref="F40:G40"/>
    <mergeCell ref="H41:I41"/>
    <mergeCell ref="H36:I36"/>
    <mergeCell ref="H37:I37"/>
    <mergeCell ref="H38:I38"/>
    <mergeCell ref="R1:S1"/>
    <mergeCell ref="F2:M2"/>
    <mergeCell ref="A4:J5"/>
    <mergeCell ref="H40:I40"/>
    <mergeCell ref="J40:K40"/>
    <mergeCell ref="F1:N1"/>
    <mergeCell ref="D1:D2"/>
    <mergeCell ref="K4:L5"/>
    <mergeCell ref="M4:M5"/>
    <mergeCell ref="B6:D7"/>
    <mergeCell ref="A6:A7"/>
    <mergeCell ref="E6:E7"/>
    <mergeCell ref="N6:N7"/>
    <mergeCell ref="J39:K39"/>
    <mergeCell ref="F41:G41"/>
    <mergeCell ref="J41:K41"/>
    <mergeCell ref="O6:O7"/>
    <mergeCell ref="B44:C44"/>
    <mergeCell ref="B45:C45"/>
    <mergeCell ref="B58:C58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F57:G57"/>
    <mergeCell ref="F58:G58"/>
    <mergeCell ref="F47:G47"/>
    <mergeCell ref="F48:G48"/>
    <mergeCell ref="G151:H151"/>
    <mergeCell ref="B43:C43"/>
    <mergeCell ref="L199:M199"/>
    <mergeCell ref="H199:I199"/>
    <mergeCell ref="J199:K199"/>
    <mergeCell ref="E199:G199"/>
    <mergeCell ref="E198:M198"/>
    <mergeCell ref="G163:H163"/>
    <mergeCell ref="A83:M83"/>
    <mergeCell ref="A84:M84"/>
    <mergeCell ref="D158:E158"/>
    <mergeCell ref="D159:E159"/>
    <mergeCell ref="A195:M195"/>
    <mergeCell ref="A155:C155"/>
    <mergeCell ref="A156:C156"/>
    <mergeCell ref="A157:C157"/>
    <mergeCell ref="A158:C158"/>
    <mergeCell ref="A159:C159"/>
    <mergeCell ref="A160:C160"/>
    <mergeCell ref="G161:H161"/>
  </mergeCells>
  <conditionalFormatting sqref="M8:M31">
    <cfRule type="expression" dxfId="14" priority="26">
      <formula>$S$4="Multi"</formula>
    </cfRule>
  </conditionalFormatting>
  <conditionalFormatting sqref="A198:M198">
    <cfRule type="expression" dxfId="13" priority="29">
      <formula>$H$199&lt;&gt;"CUSTOM"</formula>
    </cfRule>
  </conditionalFormatting>
  <conditionalFormatting sqref="A195:S195">
    <cfRule type="expression" dxfId="12" priority="35">
      <formula>$D$1="Non-NIH"</formula>
    </cfRule>
  </conditionalFormatting>
  <conditionalFormatting sqref="A137:S137 A136:M136 O136:S136">
    <cfRule type="expression" dxfId="11" priority="36">
      <formula>$D$1="Non-NIH"</formula>
    </cfRule>
    <cfRule type="expression" dxfId="10" priority="37">
      <formula>$D$1="Non-NIH"</formula>
    </cfRule>
  </conditionalFormatting>
  <conditionalFormatting sqref="L35:M58">
    <cfRule type="expression" dxfId="9" priority="10">
      <formula>$R$2="0 Months"</formula>
    </cfRule>
  </conditionalFormatting>
  <conditionalFormatting sqref="F40:G58">
    <cfRule type="expression" dxfId="8" priority="13">
      <formula>$O$2="0 Months"</formula>
    </cfRule>
  </conditionalFormatting>
  <conditionalFormatting sqref="H40:I58">
    <cfRule type="expression" dxfId="7" priority="12">
      <formula>$P$2="0 Months"</formula>
    </cfRule>
  </conditionalFormatting>
  <conditionalFormatting sqref="J35:K58">
    <cfRule type="expression" dxfId="6" priority="11">
      <formula>$Q$2="0 Months"</formula>
    </cfRule>
  </conditionalFormatting>
  <dataValidations disablePrompts="1" count="17">
    <dataValidation type="list" allowBlank="1" showInputMessage="1" showErrorMessage="1" sqref="K8:K31">
      <formula1>"SMR,AY,CAL"</formula1>
    </dataValidation>
    <dataValidation type="list" allowBlank="1" showInputMessage="1" showErrorMessage="1" sqref="L8:L31">
      <formula1>"9,11,12"</formula1>
    </dataValidation>
    <dataValidation type="list" allowBlank="1" showInputMessage="1" showErrorMessage="1" sqref="S4">
      <formula1>"0%,1%,2%,3%,4%,5%,Multi"</formula1>
    </dataValidation>
    <dataValidation type="list" allowBlank="1" showInputMessage="1" showErrorMessage="1" sqref="R4">
      <formula1>"FY,PY"</formula1>
    </dataValidation>
    <dataValidation type="list" allowBlank="1" showInputMessage="1" showErrorMessage="1" sqref="M8:M31">
      <formula1>"0%,1%,2%,3%,4%,5%,6%"</formula1>
    </dataValidation>
    <dataValidation type="list" allowBlank="1" showInputMessage="1" showErrorMessage="1" sqref="M75:M84">
      <formula1>"Yes,No"</formula1>
    </dataValidation>
    <dataValidation type="list" allowBlank="1" showInputMessage="1" showErrorMessage="1" sqref="F151:F162">
      <formula1>"0%,1%,2%,3%,4%,5%,6%,7%,8%,9%,10%"</formula1>
    </dataValidation>
    <dataValidation type="list" allowBlank="1" showInputMessage="1" showErrorMessage="1" sqref="I163:M163">
      <formula1>"Federal,Non-Federal"</formula1>
    </dataValidation>
    <dataValidation type="list" allowBlank="1" showInputMessage="1" showErrorMessage="1" sqref="H199">
      <formula1>"MTDC,TC,TDC,CUSTOM"</formula1>
    </dataValidation>
    <dataValidation type="list" allowBlank="1" showInputMessage="1" showErrorMessage="1" sqref="N2">
      <formula1>"1 Month,2 Months,3 Months,4 Months,5 Months,6 Months,7 Months,8 Months,9 Months,10 Months,11 Months,12 Months"</formula1>
    </dataValidation>
    <dataValidation type="list" allowBlank="1" showInputMessage="1" showErrorMessage="1" sqref="I150:M150">
      <formula1>"#GSRs,#Qrtr"</formula1>
    </dataValidation>
    <dataValidation type="list" allowBlank="1" showInputMessage="1" showErrorMessage="1" sqref="F150">
      <formula1>"AY,PY"</formula1>
    </dataValidation>
    <dataValidation type="list" allowBlank="1" showInputMessage="1" showErrorMessage="1" sqref="D151:E162">
      <formula1>"Resident,Non-Resident,Part-Time,Summer Only, Filing Status, Fellowship,Other"</formula1>
    </dataValidation>
    <dataValidation type="list" allowBlank="1" showInputMessage="1" showErrorMessage="1" sqref="D150:E150">
      <formula1>"Use Buydown, Use Full Rates"</formula1>
    </dataValidation>
    <dataValidation type="list" allowBlank="1" showInputMessage="1" showErrorMessage="1" sqref="D1">
      <formula1>"NIH,Non-NIH"</formula1>
    </dataValidation>
    <dataValidation type="list" allowBlank="1" showInputMessage="1" showErrorMessage="1" sqref="K120:M134">
      <formula1>"Non-UC,UC, IC of Above"</formula1>
    </dataValidation>
    <dataValidation type="date" operator="lessThan" allowBlank="1" showInputMessage="1" showErrorMessage="1" promptTitle="Archive Date" prompt="Enter an archive date to keep FY escalations static once you are finished with proposal budget (date should be before project start date and is usually proposal due date.)" sqref="R1:S1">
      <formula1>C1</formula1>
    </dataValidation>
  </dataValidations>
  <printOptions horizontalCentered="1"/>
  <pageMargins left="0.2" right="0" top="0.25" bottom="0.25" header="0.05" footer="0.05"/>
  <pageSetup scale="95" fitToHeight="3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1" id="{10CEDDFF-42CD-4F0F-A0F2-518C149CA4BC}">
            <xm:f>$F$197&lt;&gt;Worksheet!$A$91</xm:f>
            <x14:dxf>
              <font>
                <color theme="0"/>
              </font>
              <border>
                <left/>
                <right/>
                <top/>
                <bottom style="thin">
                  <color auto="1"/>
                </bottom>
                <vertical/>
                <horizontal/>
              </border>
            </x14:dxf>
          </x14:cfRule>
          <xm:sqref>H199:K199 E199</xm:sqref>
        </x14:conditionalFormatting>
        <x14:conditionalFormatting xmlns:xm="http://schemas.microsoft.com/office/excel/2006/main">
          <x14:cfRule type="expression" priority="33" id="{B78169D6-B527-4B73-A520-F786EBE79368}">
            <xm:f>$F$197&lt;&gt;Worksheet!$A$91</xm:f>
            <x14:dxf>
              <font>
                <color theme="0"/>
              </font>
              <border>
                <left/>
                <right style="thin">
                  <color auto="1"/>
                </right>
                <top/>
                <bottom style="thin">
                  <color auto="1"/>
                </bottom>
                <vertical/>
                <horizontal/>
              </border>
            </x14:dxf>
          </x14:cfRule>
          <xm:sqref>L199:M199</xm:sqref>
        </x14:conditionalFormatting>
        <x14:conditionalFormatting xmlns:xm="http://schemas.microsoft.com/office/excel/2006/main">
          <x14:cfRule type="expression" priority="34" id="{6C5B5434-2981-4A4B-AF8F-E7E0B6334870}">
            <xm:f>$F$197&lt;&gt;Worksheet!$A$91</xm:f>
            <x14:dxf>
              <font>
                <color theme="0"/>
              </font>
              <border>
                <left/>
                <bottom/>
                <vertical/>
                <horizontal/>
              </border>
            </x14:dxf>
          </x14:cfRule>
          <xm:sqref>E198:M198</xm:sqref>
        </x14:conditionalFormatting>
        <x14:conditionalFormatting xmlns:xm="http://schemas.microsoft.com/office/excel/2006/main">
          <x14:cfRule type="expression" priority="19" id="{8E7AF114-F0E4-4F52-ADD9-41B1176F0E26}">
            <xm:f>Worksheet!$G$5=0</xm:f>
            <x14:dxf>
              <font>
                <color theme="0"/>
              </font>
            </x14:dxf>
          </x14:cfRule>
          <xm:sqref>L35:M58</xm:sqref>
        </x14:conditionalFormatting>
        <x14:conditionalFormatting xmlns:xm="http://schemas.microsoft.com/office/excel/2006/main">
          <x14:cfRule type="expression" priority="18" id="{8E69FC05-8F5E-4708-9C6A-A0C4AE5B2D6D}">
            <xm:f>Worksheet!$B$5&lt;Worksheet!$C$1</xm:f>
            <x14:dxf>
              <font>
                <color theme="0"/>
              </font>
            </x14:dxf>
          </x14:cfRule>
          <xm:sqref>N2</xm:sqref>
        </x14:conditionalFormatting>
        <x14:conditionalFormatting xmlns:xm="http://schemas.microsoft.com/office/excel/2006/main">
          <x14:cfRule type="expression" priority="17" id="{A1AB9A02-3A33-41CA-9D8D-B5B210BF9B55}">
            <xm:f>Worksheet!$B$5&lt;Worksheet!$C$1</xm:f>
            <x14:dxf>
              <font>
                <color theme="5" tint="-0.24994659260841701"/>
              </font>
              <fill>
                <patternFill>
                  <bgColor theme="0" tint="-0.14996795556505021"/>
                </patternFill>
              </fill>
              <border>
                <right style="thin">
                  <color auto="1"/>
                </right>
              </border>
            </x14:dxf>
          </x14:cfRule>
          <xm:sqref>N4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Worksheet!$A$58:$A$70</xm:f>
          </x14:formula1>
          <xm:sqref>D41:D58</xm:sqref>
        </x14:dataValidation>
        <x14:dataValidation type="list" allowBlank="1" showInputMessage="1" showErrorMessage="1">
          <x14:formula1>
            <xm:f>Worksheet!$A$86:$A$91</xm:f>
          </x14:formula1>
          <xm:sqref>F197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5E00AB9D4B804A99A1C6E19F0CB1A9" ma:contentTypeVersion="2" ma:contentTypeDescription="Create a new document." ma:contentTypeScope="" ma:versionID="8ac7fda48a2e19cb423ad57ce3d626c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f9746fe128b0ca74698fd9d7c13d39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C0C8C59-D049-4221-9492-8A136150A4B9}"/>
</file>

<file path=customXml/itemProps2.xml><?xml version="1.0" encoding="utf-8"?>
<ds:datastoreItem xmlns:ds="http://schemas.openxmlformats.org/officeDocument/2006/customXml" ds:itemID="{3CD4AA5D-D45B-4CDC-870B-F021D0E82307}"/>
</file>

<file path=customXml/itemProps3.xml><?xml version="1.0" encoding="utf-8"?>
<ds:datastoreItem xmlns:ds="http://schemas.openxmlformats.org/officeDocument/2006/customXml" ds:itemID="{9F699689-913F-4C1D-8FC7-270A650A9C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Worksheet</vt:lpstr>
      <vt:lpstr>Request</vt:lpstr>
      <vt:lpstr>Sheet1</vt:lpstr>
      <vt:lpstr>Sheet2</vt:lpstr>
      <vt:lpstr>Request!Print_Area</vt:lpstr>
    </vt:vector>
  </TitlesOfParts>
  <Company>UCDavis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UWAC R03 budget template</dc:title>
  <dc:creator>Alyssa Bunn</dc:creator>
  <cp:lastModifiedBy>Renn, Brenna N</cp:lastModifiedBy>
  <cp:lastPrinted>2016-06-29T00:02:51Z</cp:lastPrinted>
  <dcterms:created xsi:type="dcterms:W3CDTF">2014-08-22T18:00:39Z</dcterms:created>
  <dcterms:modified xsi:type="dcterms:W3CDTF">2018-06-21T00:37:35Z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0x0101007D5E00AB9D4B804A99A1C6E19F0CB1A9</vt:lpwstr>
  </property>
</Properties>
</file>