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lejandralopez/Desktop/ALACRITY/Website/Resources Page/Resources-Branded/"/>
    </mc:Choice>
  </mc:AlternateContent>
  <xr:revisionPtr revIDLastSave="0" documentId="8_{41372CDE-DA32-AB43-8DA5-467A867CE394}" xr6:coauthVersionLast="45" xr6:coauthVersionMax="45" xr10:uidLastSave="{00000000-0000-0000-0000-000000000000}"/>
  <bookViews>
    <workbookView xWindow="0" yWindow="0" windowWidth="38400" windowHeight="21600" activeTab="1" xr2:uid="{00000000-000D-0000-FFFF-FFFF00000000}"/>
  </bookViews>
  <sheets>
    <sheet name="Worksheet" sheetId="1" state="hidden" r:id="rId1"/>
    <sheet name="Request" sheetId="2" r:id="rId2"/>
    <sheet name="Sheet1" sheetId="5" r:id="rId3"/>
    <sheet name="Sheet2" sheetId="6" r:id="rId4"/>
  </sheets>
  <definedNames>
    <definedName name="_xlnm.Print_Area" localSheetId="1">Request!$A$9:$S$208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3" i="2" l="1"/>
  <c r="N154" i="2" s="1"/>
  <c r="N17" i="2"/>
  <c r="N44" i="2" s="1"/>
  <c r="N18" i="2"/>
  <c r="N45" i="2" s="1"/>
  <c r="N19" i="2"/>
  <c r="N46" i="2" s="1"/>
  <c r="N20" i="2"/>
  <c r="N47" i="2" s="1"/>
  <c r="N21" i="2"/>
  <c r="N48" i="2" s="1"/>
  <c r="N22" i="2"/>
  <c r="N23" i="2"/>
  <c r="N16" i="2"/>
  <c r="N43" i="2" s="1"/>
  <c r="U15" i="2"/>
  <c r="N40" i="2" l="1"/>
  <c r="B44" i="2"/>
  <c r="B45" i="2"/>
  <c r="B46" i="2"/>
  <c r="B47" i="2"/>
  <c r="B48" i="2"/>
  <c r="O17" i="2" l="1"/>
  <c r="O18" i="2"/>
  <c r="O19" i="2"/>
  <c r="O20" i="2"/>
  <c r="O21" i="2"/>
  <c r="P17" i="2"/>
  <c r="P18" i="2"/>
  <c r="P45" i="2" s="1"/>
  <c r="P19" i="2"/>
  <c r="P20" i="2"/>
  <c r="P21" i="2"/>
  <c r="P16" i="2"/>
  <c r="O16" i="2"/>
  <c r="S211" i="2"/>
  <c r="O212" i="2"/>
  <c r="P212" i="2"/>
  <c r="N212" i="2"/>
  <c r="S212" i="2" l="1"/>
  <c r="S210" i="2" l="1"/>
  <c r="S149" i="2" l="1"/>
  <c r="P43" i="2" l="1"/>
  <c r="O43" i="2"/>
  <c r="E35" i="1" l="1"/>
  <c r="C1" i="1" l="1"/>
  <c r="B3" i="1"/>
  <c r="D160" i="1" l="1"/>
  <c r="E160" i="1"/>
  <c r="F160" i="1"/>
  <c r="G160" i="1"/>
  <c r="C160" i="1"/>
  <c r="H160" i="1" l="1"/>
  <c r="E43" i="1" l="1"/>
  <c r="F43" i="1" s="1"/>
  <c r="G43" i="1" s="1"/>
  <c r="H43" i="1" s="1"/>
  <c r="I43" i="1" s="1"/>
  <c r="J43" i="1" s="1"/>
  <c r="K43" i="1" s="1"/>
  <c r="L43" i="1" s="1"/>
  <c r="E42" i="1"/>
  <c r="F42" i="1" s="1"/>
  <c r="G42" i="1" s="1"/>
  <c r="H42" i="1" s="1"/>
  <c r="I42" i="1" s="1"/>
  <c r="J42" i="1" s="1"/>
  <c r="K42" i="1" s="1"/>
  <c r="L42" i="1" s="1"/>
  <c r="E41" i="1"/>
  <c r="F41" i="1" s="1"/>
  <c r="G41" i="1" s="1"/>
  <c r="H41" i="1" s="1"/>
  <c r="I41" i="1" s="1"/>
  <c r="J41" i="1" s="1"/>
  <c r="K41" i="1" s="1"/>
  <c r="L41" i="1" s="1"/>
  <c r="E40" i="1"/>
  <c r="F40" i="1" s="1"/>
  <c r="G40" i="1" s="1"/>
  <c r="H40" i="1" s="1"/>
  <c r="I40" i="1" s="1"/>
  <c r="J40" i="1" s="1"/>
  <c r="K40" i="1" s="1"/>
  <c r="L40" i="1" s="1"/>
  <c r="E39" i="1"/>
  <c r="F39" i="1" s="1"/>
  <c r="G39" i="1" s="1"/>
  <c r="H39" i="1" s="1"/>
  <c r="I39" i="1" s="1"/>
  <c r="J39" i="1" s="1"/>
  <c r="K39" i="1" s="1"/>
  <c r="L39" i="1" s="1"/>
  <c r="E38" i="1"/>
  <c r="F38" i="1" s="1"/>
  <c r="G38" i="1" s="1"/>
  <c r="H38" i="1" s="1"/>
  <c r="I38" i="1" s="1"/>
  <c r="J38" i="1" s="1"/>
  <c r="K38" i="1" s="1"/>
  <c r="L38" i="1" s="1"/>
  <c r="E37" i="1"/>
  <c r="F37" i="1" s="1"/>
  <c r="G37" i="1" s="1"/>
  <c r="H37" i="1" s="1"/>
  <c r="I37" i="1" s="1"/>
  <c r="J37" i="1" s="1"/>
  <c r="K37" i="1" s="1"/>
  <c r="L37" i="1" s="1"/>
  <c r="E36" i="1"/>
  <c r="F36" i="1" s="1"/>
  <c r="G36" i="1" s="1"/>
  <c r="H36" i="1" s="1"/>
  <c r="I36" i="1" s="1"/>
  <c r="J36" i="1" s="1"/>
  <c r="K36" i="1" s="1"/>
  <c r="L36" i="1" s="1"/>
  <c r="F35" i="1"/>
  <c r="G35" i="1" s="1"/>
  <c r="H35" i="1" s="1"/>
  <c r="I35" i="1" s="1"/>
  <c r="J35" i="1" s="1"/>
  <c r="K35" i="1" s="1"/>
  <c r="L35" i="1" s="1"/>
  <c r="O92" i="2" l="1"/>
  <c r="P92" i="2"/>
  <c r="Q92" i="2"/>
  <c r="R92" i="2"/>
  <c r="N92" i="2"/>
  <c r="O91" i="2"/>
  <c r="P91" i="2"/>
  <c r="Q91" i="2"/>
  <c r="R91" i="2"/>
  <c r="N91" i="2"/>
  <c r="N125" i="2" l="1"/>
  <c r="O93" i="2"/>
  <c r="P93" i="2"/>
  <c r="Q93" i="2"/>
  <c r="R93" i="2"/>
  <c r="N93" i="2"/>
  <c r="S130" i="2" l="1"/>
  <c r="S131" i="2"/>
  <c r="S132" i="2"/>
  <c r="S133" i="2"/>
  <c r="S134" i="2"/>
  <c r="S135" i="2"/>
  <c r="S136" i="2"/>
  <c r="S137" i="2"/>
  <c r="S138" i="2"/>
  <c r="O144" i="2" l="1"/>
  <c r="P144" i="2"/>
  <c r="Q144" i="2"/>
  <c r="R144" i="2"/>
  <c r="S144" i="2" l="1"/>
  <c r="G109" i="1"/>
  <c r="F106" i="1"/>
  <c r="G107" i="1"/>
  <c r="C106" i="1"/>
  <c r="D105" i="1"/>
  <c r="E105" i="1"/>
  <c r="F105" i="1"/>
  <c r="G105" i="1"/>
  <c r="D106" i="1"/>
  <c r="E106" i="1"/>
  <c r="G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05" i="1"/>
  <c r="D104" i="1"/>
  <c r="E104" i="1"/>
  <c r="F104" i="1"/>
  <c r="G104" i="1"/>
  <c r="C104" i="1"/>
  <c r="B105" i="1"/>
  <c r="G108" i="1" l="1"/>
  <c r="H108" i="1" s="1"/>
  <c r="H115" i="1"/>
  <c r="H117" i="1"/>
  <c r="H114" i="1"/>
  <c r="H113" i="1"/>
  <c r="H111" i="1"/>
  <c r="H110" i="1"/>
  <c r="H109" i="1"/>
  <c r="H107" i="1"/>
  <c r="H106" i="1"/>
  <c r="H118" i="1"/>
  <c r="H105" i="1"/>
  <c r="H116" i="1"/>
  <c r="H112" i="1"/>
  <c r="A329" i="1" l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28" i="1"/>
  <c r="C163" i="1" l="1"/>
  <c r="D163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62" i="1"/>
  <c r="D162" i="1" s="1"/>
  <c r="B163" i="1"/>
  <c r="B164" i="1"/>
  <c r="B165" i="1"/>
  <c r="B166" i="1"/>
  <c r="B167" i="1"/>
  <c r="B168" i="1"/>
  <c r="B169" i="1"/>
  <c r="B170" i="1"/>
  <c r="B171" i="1"/>
  <c r="B172" i="1"/>
  <c r="B173" i="1"/>
  <c r="B162" i="1"/>
  <c r="A172" i="1"/>
  <c r="A173" i="1"/>
  <c r="A163" i="1"/>
  <c r="A164" i="1"/>
  <c r="A165" i="1"/>
  <c r="A166" i="1"/>
  <c r="A167" i="1"/>
  <c r="A168" i="1"/>
  <c r="A169" i="1"/>
  <c r="A170" i="1"/>
  <c r="A171" i="1"/>
  <c r="B15" i="1" l="1"/>
  <c r="S190" i="2" l="1"/>
  <c r="S191" i="2"/>
  <c r="S192" i="2"/>
  <c r="S193" i="2"/>
  <c r="S194" i="2"/>
  <c r="S195" i="2"/>
  <c r="S188" i="2"/>
  <c r="S1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90" i="2" l="1"/>
  <c r="S91" i="2"/>
  <c r="C164" i="1" l="1"/>
  <c r="D164" i="1" s="1"/>
  <c r="B2" i="1"/>
  <c r="B5" i="1" s="1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50" i="2"/>
  <c r="B49" i="2"/>
  <c r="B43" i="2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18" i="1"/>
  <c r="B218" i="1" s="1"/>
  <c r="N80" i="2"/>
  <c r="S70" i="2"/>
  <c r="S82" i="2" s="1"/>
  <c r="S95" i="2" s="1"/>
  <c r="S127" i="2" s="1"/>
  <c r="S146" i="2" s="1"/>
  <c r="O42" i="2"/>
  <c r="P42" i="2"/>
  <c r="Q42" i="2"/>
  <c r="R42" i="2"/>
  <c r="N42" i="2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A178" i="1"/>
  <c r="A219" i="1" s="1"/>
  <c r="A249" i="1" s="1"/>
  <c r="A276" i="1" s="1"/>
  <c r="A302" i="1" s="1"/>
  <c r="A179" i="1"/>
  <c r="A220" i="1" s="1"/>
  <c r="A250" i="1" s="1"/>
  <c r="A277" i="1" s="1"/>
  <c r="A303" i="1" s="1"/>
  <c r="A180" i="1"/>
  <c r="A221" i="1" s="1"/>
  <c r="A251" i="1" s="1"/>
  <c r="A278" i="1" s="1"/>
  <c r="A304" i="1" s="1"/>
  <c r="A181" i="1"/>
  <c r="A222" i="1" s="1"/>
  <c r="A252" i="1" s="1"/>
  <c r="A279" i="1" s="1"/>
  <c r="A305" i="1" s="1"/>
  <c r="A182" i="1"/>
  <c r="A223" i="1" s="1"/>
  <c r="A253" i="1" s="1"/>
  <c r="A280" i="1" s="1"/>
  <c r="A306" i="1" s="1"/>
  <c r="A183" i="1"/>
  <c r="A224" i="1" s="1"/>
  <c r="A254" i="1" s="1"/>
  <c r="A281" i="1" s="1"/>
  <c r="A307" i="1" s="1"/>
  <c r="A184" i="1"/>
  <c r="A225" i="1" s="1"/>
  <c r="A255" i="1" s="1"/>
  <c r="A282" i="1" s="1"/>
  <c r="A308" i="1" s="1"/>
  <c r="A185" i="1"/>
  <c r="A226" i="1" s="1"/>
  <c r="A256" i="1" s="1"/>
  <c r="A283" i="1" s="1"/>
  <c r="A309" i="1" s="1"/>
  <c r="A186" i="1"/>
  <c r="A227" i="1" s="1"/>
  <c r="A257" i="1" s="1"/>
  <c r="A284" i="1" s="1"/>
  <c r="A310" i="1" s="1"/>
  <c r="A187" i="1"/>
  <c r="A228" i="1" s="1"/>
  <c r="A258" i="1" s="1"/>
  <c r="A285" i="1" s="1"/>
  <c r="A311" i="1" s="1"/>
  <c r="A188" i="1"/>
  <c r="A229" i="1" s="1"/>
  <c r="A259" i="1" s="1"/>
  <c r="A286" i="1" s="1"/>
  <c r="A312" i="1" s="1"/>
  <c r="A189" i="1"/>
  <c r="A230" i="1" s="1"/>
  <c r="A260" i="1" s="1"/>
  <c r="A287" i="1" s="1"/>
  <c r="A313" i="1" s="1"/>
  <c r="A190" i="1"/>
  <c r="A231" i="1" s="1"/>
  <c r="A261" i="1" s="1"/>
  <c r="A288" i="1" s="1"/>
  <c r="A314" i="1" s="1"/>
  <c r="A191" i="1"/>
  <c r="A232" i="1" s="1"/>
  <c r="A262" i="1" s="1"/>
  <c r="A289" i="1" s="1"/>
  <c r="A315" i="1" s="1"/>
  <c r="A192" i="1"/>
  <c r="A233" i="1" s="1"/>
  <c r="A263" i="1" s="1"/>
  <c r="A290" i="1" s="1"/>
  <c r="A316" i="1" s="1"/>
  <c r="A193" i="1"/>
  <c r="A234" i="1" s="1"/>
  <c r="A264" i="1" s="1"/>
  <c r="A291" i="1" s="1"/>
  <c r="A317" i="1" s="1"/>
  <c r="A194" i="1"/>
  <c r="A235" i="1" s="1"/>
  <c r="A265" i="1" s="1"/>
  <c r="A292" i="1" s="1"/>
  <c r="A318" i="1" s="1"/>
  <c r="A195" i="1"/>
  <c r="A236" i="1" s="1"/>
  <c r="A266" i="1" s="1"/>
  <c r="A293" i="1" s="1"/>
  <c r="A319" i="1" s="1"/>
  <c r="A196" i="1"/>
  <c r="A237" i="1" s="1"/>
  <c r="A267" i="1" s="1"/>
  <c r="A294" i="1" s="1"/>
  <c r="A320" i="1" s="1"/>
  <c r="A197" i="1"/>
  <c r="A238" i="1" s="1"/>
  <c r="A268" i="1" s="1"/>
  <c r="A295" i="1" s="1"/>
  <c r="A321" i="1" s="1"/>
  <c r="A198" i="1"/>
  <c r="A239" i="1" s="1"/>
  <c r="A269" i="1" s="1"/>
  <c r="A296" i="1" s="1"/>
  <c r="A322" i="1" s="1"/>
  <c r="A199" i="1"/>
  <c r="A240" i="1" s="1"/>
  <c r="A270" i="1" s="1"/>
  <c r="A297" i="1" s="1"/>
  <c r="A323" i="1" s="1"/>
  <c r="A200" i="1"/>
  <c r="A241" i="1" s="1"/>
  <c r="A271" i="1" s="1"/>
  <c r="A298" i="1" s="1"/>
  <c r="A324" i="1" s="1"/>
  <c r="A177" i="1"/>
  <c r="A218" i="1" s="1"/>
  <c r="A248" i="1" s="1"/>
  <c r="A275" i="1" s="1"/>
  <c r="A301" i="1" s="1"/>
  <c r="B161" i="1"/>
  <c r="A162" i="1"/>
  <c r="S201" i="2"/>
  <c r="S200" i="2"/>
  <c r="S199" i="2"/>
  <c r="S198" i="2"/>
  <c r="S197" i="2"/>
  <c r="S187" i="2"/>
  <c r="S185" i="2"/>
  <c r="S184" i="2"/>
  <c r="S183" i="2"/>
  <c r="S182" i="2"/>
  <c r="S181" i="2"/>
  <c r="S180" i="2"/>
  <c r="S179" i="2"/>
  <c r="S176" i="2"/>
  <c r="S175" i="2"/>
  <c r="S174" i="2"/>
  <c r="S173" i="2"/>
  <c r="S172" i="2"/>
  <c r="I91" i="1"/>
  <c r="J91" i="1"/>
  <c r="K91" i="1"/>
  <c r="B140" i="1"/>
  <c r="B141" i="1"/>
  <c r="B142" i="1"/>
  <c r="B143" i="1"/>
  <c r="B144" i="1"/>
  <c r="B145" i="1"/>
  <c r="D145" i="1" s="1"/>
  <c r="B146" i="1"/>
  <c r="B147" i="1"/>
  <c r="B148" i="1"/>
  <c r="B149" i="1"/>
  <c r="F149" i="1" s="1"/>
  <c r="B150" i="1"/>
  <c r="B151" i="1"/>
  <c r="D151" i="1" s="1"/>
  <c r="B152" i="1"/>
  <c r="B153" i="1"/>
  <c r="F153" i="1" s="1"/>
  <c r="B139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B122" i="1"/>
  <c r="B123" i="1"/>
  <c r="B124" i="1"/>
  <c r="B125" i="1"/>
  <c r="B126" i="1"/>
  <c r="B127" i="1"/>
  <c r="F127" i="1" s="1"/>
  <c r="B128" i="1"/>
  <c r="B129" i="1"/>
  <c r="B130" i="1"/>
  <c r="B131" i="1"/>
  <c r="B132" i="1"/>
  <c r="B133" i="1"/>
  <c r="D133" i="1" s="1"/>
  <c r="B134" i="1"/>
  <c r="B135" i="1"/>
  <c r="B121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B106" i="1"/>
  <c r="B107" i="1"/>
  <c r="B108" i="1"/>
  <c r="B109" i="1"/>
  <c r="B110" i="1"/>
  <c r="C127" i="1" s="1"/>
  <c r="B111" i="1"/>
  <c r="B112" i="1"/>
  <c r="B113" i="1"/>
  <c r="B114" i="1"/>
  <c r="C131" i="1" s="1"/>
  <c r="B115" i="1"/>
  <c r="B116" i="1"/>
  <c r="C133" i="1" s="1"/>
  <c r="B117" i="1"/>
  <c r="B118" i="1"/>
  <c r="C135" i="1" s="1"/>
  <c r="B104" i="1"/>
  <c r="A117" i="1"/>
  <c r="A118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04" i="1"/>
  <c r="C91" i="1"/>
  <c r="D91" i="1"/>
  <c r="E91" i="1"/>
  <c r="F91" i="1"/>
  <c r="G91" i="1"/>
  <c r="H91" i="1"/>
  <c r="B91" i="1"/>
  <c r="R153" i="2"/>
  <c r="Q153" i="2"/>
  <c r="S152" i="2"/>
  <c r="S151" i="2"/>
  <c r="S150" i="2"/>
  <c r="S148" i="2"/>
  <c r="S147" i="2"/>
  <c r="S129" i="2"/>
  <c r="S139" i="2"/>
  <c r="S140" i="2"/>
  <c r="S141" i="2"/>
  <c r="S142" i="2"/>
  <c r="R143" i="2"/>
  <c r="Q143" i="2"/>
  <c r="P143" i="2"/>
  <c r="O143" i="2"/>
  <c r="S128" i="2"/>
  <c r="R125" i="2"/>
  <c r="Q125" i="2"/>
  <c r="P125" i="2"/>
  <c r="O125" i="2"/>
  <c r="S124" i="2"/>
  <c r="S123" i="2"/>
  <c r="S122" i="2"/>
  <c r="S121" i="2"/>
  <c r="S120" i="2"/>
  <c r="S96" i="2"/>
  <c r="S92" i="2"/>
  <c r="S89" i="2"/>
  <c r="S88" i="2"/>
  <c r="S87" i="2"/>
  <c r="S86" i="2"/>
  <c r="S85" i="2"/>
  <c r="S84" i="2"/>
  <c r="S83" i="2"/>
  <c r="O80" i="2"/>
  <c r="P80" i="2"/>
  <c r="Q80" i="2"/>
  <c r="R80" i="2"/>
  <c r="S71" i="2"/>
  <c r="S73" i="2"/>
  <c r="S72" i="2"/>
  <c r="S75" i="2"/>
  <c r="S74" i="2"/>
  <c r="S76" i="2"/>
  <c r="S78" i="2"/>
  <c r="S77" i="2"/>
  <c r="S79" i="2"/>
  <c r="C2" i="1" l="1"/>
  <c r="C11" i="1" s="1"/>
  <c r="C12" i="1" s="1"/>
  <c r="Q154" i="2"/>
  <c r="O154" i="2"/>
  <c r="S93" i="2"/>
  <c r="P154" i="2"/>
  <c r="R154" i="2"/>
  <c r="F151" i="1"/>
  <c r="C151" i="1"/>
  <c r="S153" i="2"/>
  <c r="S143" i="2"/>
  <c r="C125" i="1"/>
  <c r="C145" i="1"/>
  <c r="F145" i="1"/>
  <c r="E140" i="1"/>
  <c r="S125" i="2"/>
  <c r="C130" i="1"/>
  <c r="C149" i="1"/>
  <c r="G141" i="1"/>
  <c r="C126" i="1"/>
  <c r="C122" i="1"/>
  <c r="C147" i="1"/>
  <c r="S80" i="2"/>
  <c r="C134" i="1"/>
  <c r="G153" i="1"/>
  <c r="D148" i="1"/>
  <c r="F144" i="1"/>
  <c r="G140" i="1"/>
  <c r="C141" i="1"/>
  <c r="D141" i="1"/>
  <c r="E149" i="1"/>
  <c r="D149" i="1"/>
  <c r="G144" i="1"/>
  <c r="D144" i="1"/>
  <c r="F150" i="1"/>
  <c r="F148" i="1"/>
  <c r="E130" i="1"/>
  <c r="G151" i="1"/>
  <c r="E133" i="1"/>
  <c r="C129" i="1"/>
  <c r="D140" i="1"/>
  <c r="E142" i="1"/>
  <c r="B19" i="1"/>
  <c r="E132" i="1"/>
  <c r="D129" i="1"/>
  <c r="C144" i="1"/>
  <c r="E148" i="1"/>
  <c r="E144" i="1"/>
  <c r="E139" i="1"/>
  <c r="E151" i="1"/>
  <c r="G133" i="1"/>
  <c r="G128" i="1"/>
  <c r="F133" i="1"/>
  <c r="C148" i="1"/>
  <c r="G148" i="1"/>
  <c r="F140" i="1"/>
  <c r="G139" i="1"/>
  <c r="D150" i="1"/>
  <c r="E143" i="1"/>
  <c r="C143" i="1"/>
  <c r="G143" i="1"/>
  <c r="E121" i="1"/>
  <c r="E124" i="1"/>
  <c r="F152" i="1"/>
  <c r="G152" i="1"/>
  <c r="C152" i="1"/>
  <c r="D152" i="1"/>
  <c r="C146" i="1"/>
  <c r="C142" i="1"/>
  <c r="G142" i="1"/>
  <c r="B4" i="1"/>
  <c r="C128" i="1"/>
  <c r="C124" i="1"/>
  <c r="G150" i="1"/>
  <c r="F147" i="1"/>
  <c r="F146" i="1"/>
  <c r="F135" i="1"/>
  <c r="G135" i="1"/>
  <c r="E141" i="1"/>
  <c r="C132" i="1"/>
  <c r="H104" i="1"/>
  <c r="C123" i="1"/>
  <c r="E150" i="1"/>
  <c r="G149" i="1"/>
  <c r="E152" i="1"/>
  <c r="E129" i="1"/>
  <c r="F129" i="1"/>
  <c r="F143" i="1"/>
  <c r="F125" i="1"/>
  <c r="F141" i="1"/>
  <c r="G123" i="1"/>
  <c r="E134" i="1"/>
  <c r="D134" i="1"/>
  <c r="F134" i="1"/>
  <c r="G134" i="1"/>
  <c r="D130" i="1"/>
  <c r="F130" i="1"/>
  <c r="G130" i="1"/>
  <c r="F126" i="1"/>
  <c r="E126" i="1"/>
  <c r="G126" i="1"/>
  <c r="D126" i="1"/>
  <c r="D122" i="1"/>
  <c r="G122" i="1"/>
  <c r="F122" i="1"/>
  <c r="E122" i="1"/>
  <c r="G129" i="1"/>
  <c r="E128" i="1"/>
  <c r="F128" i="1"/>
  <c r="G121" i="1"/>
  <c r="F124" i="1"/>
  <c r="C140" i="1"/>
  <c r="G125" i="1"/>
  <c r="D125" i="1"/>
  <c r="D143" i="1"/>
  <c r="E125" i="1"/>
  <c r="D135" i="1"/>
  <c r="E135" i="1"/>
  <c r="D131" i="1"/>
  <c r="G131" i="1"/>
  <c r="E131" i="1"/>
  <c r="F131" i="1"/>
  <c r="D127" i="1"/>
  <c r="E127" i="1"/>
  <c r="G127" i="1"/>
  <c r="D123" i="1"/>
  <c r="F123" i="1"/>
  <c r="E123" i="1"/>
  <c r="E146" i="1"/>
  <c r="G146" i="1"/>
  <c r="D146" i="1"/>
  <c r="D142" i="1"/>
  <c r="F142" i="1"/>
  <c r="G132" i="1"/>
  <c r="D139" i="1"/>
  <c r="F139" i="1"/>
  <c r="C139" i="1"/>
  <c r="D132" i="1"/>
  <c r="C121" i="1"/>
  <c r="D121" i="1"/>
  <c r="F121" i="1"/>
  <c r="F132" i="1"/>
  <c r="D128" i="1"/>
  <c r="D124" i="1"/>
  <c r="G124" i="1"/>
  <c r="D153" i="1"/>
  <c r="E153" i="1"/>
  <c r="C153" i="1"/>
  <c r="C150" i="1"/>
  <c r="E147" i="1"/>
  <c r="G147" i="1"/>
  <c r="D147" i="1"/>
  <c r="E145" i="1"/>
  <c r="G145" i="1"/>
  <c r="B23" i="1"/>
  <c r="C4" i="1" l="1"/>
  <c r="B50" i="1" s="1"/>
  <c r="C3" i="1"/>
  <c r="E208" i="1"/>
  <c r="E209" i="1" s="1"/>
  <c r="E206" i="1"/>
  <c r="E207" i="1" s="1"/>
  <c r="C25" i="1"/>
  <c r="C26" i="1" s="1"/>
  <c r="N12" i="2"/>
  <c r="S154" i="2"/>
  <c r="H140" i="1"/>
  <c r="H151" i="1"/>
  <c r="H144" i="1"/>
  <c r="H133" i="1"/>
  <c r="H149" i="1"/>
  <c r="H148" i="1"/>
  <c r="H129" i="1"/>
  <c r="H147" i="1"/>
  <c r="H153" i="1"/>
  <c r="H142" i="1"/>
  <c r="H128" i="1"/>
  <c r="H152" i="1"/>
  <c r="H146" i="1"/>
  <c r="H127" i="1"/>
  <c r="H131" i="1"/>
  <c r="H143" i="1"/>
  <c r="H126" i="1"/>
  <c r="H141" i="1"/>
  <c r="H132" i="1"/>
  <c r="G154" i="1"/>
  <c r="H123" i="1"/>
  <c r="H125" i="1"/>
  <c r="H150" i="1"/>
  <c r="F136" i="1"/>
  <c r="H135" i="1"/>
  <c r="H122" i="1"/>
  <c r="E136" i="1"/>
  <c r="H130" i="1"/>
  <c r="H134" i="1"/>
  <c r="H124" i="1"/>
  <c r="D136" i="1"/>
  <c r="C154" i="1"/>
  <c r="H139" i="1"/>
  <c r="C136" i="1"/>
  <c r="H121" i="1"/>
  <c r="F154" i="1"/>
  <c r="G136" i="1"/>
  <c r="E154" i="1"/>
  <c r="H145" i="1"/>
  <c r="D154" i="1"/>
  <c r="B47" i="1" l="1"/>
  <c r="B52" i="1"/>
  <c r="B56" i="1" s="1"/>
  <c r="B247" i="1" s="1"/>
  <c r="B54" i="1"/>
  <c r="B86" i="1"/>
  <c r="B97" i="1" s="1"/>
  <c r="B49" i="1"/>
  <c r="B48" i="1"/>
  <c r="B53" i="1"/>
  <c r="B89" i="1"/>
  <c r="B55" i="1"/>
  <c r="B88" i="1"/>
  <c r="C8" i="1"/>
  <c r="C6" i="1" s="1"/>
  <c r="C17" i="1" s="1"/>
  <c r="B51" i="1"/>
  <c r="C5" i="1"/>
  <c r="B177" i="1" s="1"/>
  <c r="H177" i="1" s="1"/>
  <c r="H154" i="1"/>
  <c r="H136" i="1"/>
  <c r="C18" i="1" l="1"/>
  <c r="B16" i="1"/>
  <c r="C21" i="1" l="1"/>
  <c r="B17" i="1"/>
  <c r="B18" i="1" s="1"/>
  <c r="C22" i="1" l="1"/>
  <c r="B20" i="1"/>
  <c r="B21" i="1" l="1"/>
  <c r="B22" i="1" s="1"/>
  <c r="B24" i="1" s="1"/>
  <c r="E167" i="1" l="1"/>
  <c r="F167" i="1" s="1"/>
  <c r="G167" i="1" s="1"/>
  <c r="E172" i="1"/>
  <c r="E163" i="1"/>
  <c r="F163" i="1" s="1"/>
  <c r="G163" i="1" s="1"/>
  <c r="H163" i="1" s="1"/>
  <c r="I163" i="1" s="1"/>
  <c r="J163" i="1" s="1"/>
  <c r="E171" i="1"/>
  <c r="E165" i="1"/>
  <c r="F165" i="1" s="1"/>
  <c r="G165" i="1" s="1"/>
  <c r="E166" i="1"/>
  <c r="F166" i="1" s="1"/>
  <c r="G166" i="1" s="1"/>
  <c r="E164" i="1"/>
  <c r="F164" i="1" s="1"/>
  <c r="G164" i="1" s="1"/>
  <c r="E169" i="1"/>
  <c r="F169" i="1" s="1"/>
  <c r="G169" i="1" s="1"/>
  <c r="E162" i="1"/>
  <c r="F162" i="1" s="1"/>
  <c r="G162" i="1" s="1"/>
  <c r="H162" i="1" s="1"/>
  <c r="I162" i="1" s="1"/>
  <c r="J162" i="1" s="1"/>
  <c r="E170" i="1"/>
  <c r="E168" i="1"/>
  <c r="F168" i="1" s="1"/>
  <c r="G168" i="1" s="1"/>
  <c r="E173" i="1"/>
  <c r="F173" i="1" s="1"/>
  <c r="G173" i="1" s="1"/>
  <c r="F172" i="1" l="1"/>
  <c r="G172" i="1" s="1"/>
  <c r="H172" i="1" s="1"/>
  <c r="I172" i="1" s="1"/>
  <c r="J172" i="1" s="1"/>
  <c r="F171" i="1"/>
  <c r="G171" i="1" s="1"/>
  <c r="H171" i="1" s="1"/>
  <c r="I171" i="1" s="1"/>
  <c r="J171" i="1" s="1"/>
  <c r="F170" i="1"/>
  <c r="G170" i="1" s="1"/>
  <c r="H170" i="1" s="1"/>
  <c r="I170" i="1" s="1"/>
  <c r="J170" i="1" s="1"/>
  <c r="H167" i="1"/>
  <c r="I167" i="1" s="1"/>
  <c r="J167" i="1" s="1"/>
  <c r="H173" i="1"/>
  <c r="I173" i="1" s="1"/>
  <c r="J173" i="1" s="1"/>
  <c r="H166" i="1"/>
  <c r="I166" i="1" s="1"/>
  <c r="J166" i="1" s="1"/>
  <c r="H165" i="1"/>
  <c r="I165" i="1" s="1"/>
  <c r="J165" i="1" s="1"/>
  <c r="H164" i="1"/>
  <c r="I164" i="1" s="1"/>
  <c r="J164" i="1" s="1"/>
  <c r="H169" i="1"/>
  <c r="I169" i="1" s="1"/>
  <c r="J169" i="1" s="1"/>
  <c r="H168" i="1"/>
  <c r="I168" i="1" s="1"/>
  <c r="J168" i="1" s="1"/>
  <c r="S206" i="2" l="1"/>
  <c r="S14" i="2" l="1"/>
  <c r="S10" i="2" l="1"/>
  <c r="C28" i="1" l="1"/>
  <c r="D2" i="1"/>
  <c r="C19" i="1"/>
  <c r="D4" i="1" l="1"/>
  <c r="D3" i="1"/>
  <c r="F206" i="1"/>
  <c r="F208" i="1"/>
  <c r="D25" i="1"/>
  <c r="B178" i="1"/>
  <c r="H178" i="1" s="1"/>
  <c r="C27" i="1"/>
  <c r="C9" i="1"/>
  <c r="C7" i="1"/>
  <c r="E210" i="1" l="1"/>
  <c r="C29" i="1"/>
  <c r="K169" i="1" s="1"/>
  <c r="C89" i="1"/>
  <c r="D52" i="1"/>
  <c r="D56" i="1" s="1"/>
  <c r="D247" i="1" s="1"/>
  <c r="D5" i="1"/>
  <c r="O45" i="2" s="1"/>
  <c r="D53" i="1"/>
  <c r="F209" i="1"/>
  <c r="D49" i="1"/>
  <c r="D26" i="1"/>
  <c r="D11" i="1"/>
  <c r="D51" i="1"/>
  <c r="D86" i="1"/>
  <c r="D97" i="1" s="1"/>
  <c r="D50" i="1"/>
  <c r="D47" i="1"/>
  <c r="D89" i="1"/>
  <c r="D88" i="1"/>
  <c r="D48" i="1"/>
  <c r="D54" i="1"/>
  <c r="D55" i="1"/>
  <c r="D8" i="1"/>
  <c r="F207" i="1"/>
  <c r="C10" i="1"/>
  <c r="C13" i="1"/>
  <c r="E212" i="1"/>
  <c r="D19" i="1"/>
  <c r="E2" i="1"/>
  <c r="E3" i="1" s="1"/>
  <c r="C48" i="1"/>
  <c r="B60" i="1" s="1"/>
  <c r="C55" i="1"/>
  <c r="B67" i="1" s="1"/>
  <c r="C51" i="1"/>
  <c r="B63" i="1" s="1"/>
  <c r="C47" i="1"/>
  <c r="B59" i="1" s="1"/>
  <c r="C54" i="1"/>
  <c r="B66" i="1" s="1"/>
  <c r="C50" i="1"/>
  <c r="B62" i="1" s="1"/>
  <c r="C52" i="1"/>
  <c r="B64" i="1" s="1"/>
  <c r="C86" i="1"/>
  <c r="C97" i="1" s="1"/>
  <c r="C88" i="1"/>
  <c r="C53" i="1"/>
  <c r="B65" i="1" s="1"/>
  <c r="C49" i="1"/>
  <c r="B61" i="1" s="1"/>
  <c r="K168" i="1"/>
  <c r="B179" i="1"/>
  <c r="H179" i="1" s="1"/>
  <c r="K163" i="1"/>
  <c r="K170" i="1"/>
  <c r="K164" i="1"/>
  <c r="K173" i="1"/>
  <c r="K162" i="1"/>
  <c r="K171" i="1"/>
  <c r="K172" i="1"/>
  <c r="K166" i="1"/>
  <c r="K165" i="1"/>
  <c r="K167" i="1"/>
  <c r="C30" i="1" l="1"/>
  <c r="N167" i="2" s="1"/>
  <c r="E204" i="1"/>
  <c r="N24" i="2"/>
  <c r="D12" i="1"/>
  <c r="D27" i="1"/>
  <c r="D6" i="1"/>
  <c r="D18" i="1" s="1"/>
  <c r="B219" i="1"/>
  <c r="B249" i="1" s="1"/>
  <c r="B248" i="1"/>
  <c r="E19" i="1"/>
  <c r="F2" i="1"/>
  <c r="F3" i="1" s="1"/>
  <c r="F19" i="1" s="1"/>
  <c r="E4" i="1"/>
  <c r="E5" i="1" s="1"/>
  <c r="P10" i="2" s="1"/>
  <c r="B342" i="1"/>
  <c r="B339" i="1"/>
  <c r="B365" i="1" s="1"/>
  <c r="B343" i="1"/>
  <c r="B369" i="1" s="1"/>
  <c r="N26" i="2"/>
  <c r="N39" i="2"/>
  <c r="B332" i="1"/>
  <c r="N30" i="2"/>
  <c r="B341" i="1"/>
  <c r="B334" i="1"/>
  <c r="B360" i="1" s="1"/>
  <c r="B350" i="1"/>
  <c r="N38" i="2"/>
  <c r="O10" i="2"/>
  <c r="B333" i="1"/>
  <c r="B336" i="1"/>
  <c r="C14" i="1"/>
  <c r="N28" i="2"/>
  <c r="N31" i="2"/>
  <c r="G208" i="1"/>
  <c r="B344" i="1"/>
  <c r="B340" i="1"/>
  <c r="N32" i="2"/>
  <c r="B328" i="1"/>
  <c r="B354" i="1" s="1"/>
  <c r="E25" i="1"/>
  <c r="B337" i="1"/>
  <c r="B345" i="1"/>
  <c r="E213" i="1"/>
  <c r="B351" i="1"/>
  <c r="B377" i="1" s="1"/>
  <c r="B347" i="1"/>
  <c r="N36" i="2"/>
  <c r="B335" i="1"/>
  <c r="N34" i="2"/>
  <c r="G206" i="1"/>
  <c r="N29" i="2"/>
  <c r="D28" i="1"/>
  <c r="C177" i="1"/>
  <c r="I177" i="1" s="1"/>
  <c r="N35" i="2"/>
  <c r="B331" i="1"/>
  <c r="B346" i="1"/>
  <c r="B372" i="1" s="1"/>
  <c r="B330" i="1"/>
  <c r="B356" i="1" s="1"/>
  <c r="B338" i="1"/>
  <c r="E211" i="1"/>
  <c r="N27" i="2"/>
  <c r="B349" i="1"/>
  <c r="N37" i="2"/>
  <c r="B348" i="1"/>
  <c r="N25" i="2"/>
  <c r="B329" i="1"/>
  <c r="B355" i="1" s="1"/>
  <c r="N33" i="2"/>
  <c r="C56" i="1"/>
  <c r="B99" i="1"/>
  <c r="B220" i="1"/>
  <c r="B250" i="1" s="1"/>
  <c r="B180" i="1"/>
  <c r="H180" i="1" s="1"/>
  <c r="B401" i="1" l="1"/>
  <c r="B375" i="1"/>
  <c r="B397" i="1"/>
  <c r="B371" i="1"/>
  <c r="B393" i="1"/>
  <c r="B367" i="1"/>
  <c r="B396" i="1"/>
  <c r="B370" i="1"/>
  <c r="B384" i="1"/>
  <c r="B358" i="1"/>
  <c r="B399" i="1"/>
  <c r="B373" i="1"/>
  <c r="B389" i="1"/>
  <c r="B363" i="1"/>
  <c r="B388" i="1"/>
  <c r="B362" i="1"/>
  <c r="B390" i="1"/>
  <c r="B364" i="1"/>
  <c r="B387" i="1"/>
  <c r="B361" i="1"/>
  <c r="B400" i="1"/>
  <c r="B374" i="1"/>
  <c r="B383" i="1"/>
  <c r="B357" i="1"/>
  <c r="B392" i="1"/>
  <c r="B366" i="1"/>
  <c r="B385" i="1"/>
  <c r="B359" i="1"/>
  <c r="B402" i="1"/>
  <c r="B376" i="1"/>
  <c r="B394" i="1"/>
  <c r="B368" i="1"/>
  <c r="B403" i="1"/>
  <c r="B395" i="1"/>
  <c r="B386" i="1"/>
  <c r="B381" i="1"/>
  <c r="B382" i="1"/>
  <c r="B391" i="1"/>
  <c r="B398" i="1"/>
  <c r="B380" i="1"/>
  <c r="N166" i="2"/>
  <c r="D7" i="1"/>
  <c r="E49" i="1" s="1"/>
  <c r="C61" i="1" s="1"/>
  <c r="N160" i="2"/>
  <c r="N168" i="2"/>
  <c r="N162" i="2"/>
  <c r="N164" i="2"/>
  <c r="D9" i="1"/>
  <c r="N161" i="2"/>
  <c r="N170" i="2"/>
  <c r="N165" i="2"/>
  <c r="N159" i="2"/>
  <c r="N169" i="2"/>
  <c r="N163" i="2"/>
  <c r="D29" i="1"/>
  <c r="D30" i="1" s="1"/>
  <c r="E205" i="1"/>
  <c r="D17" i="1"/>
  <c r="C219" i="1"/>
  <c r="C249" i="1" s="1"/>
  <c r="C218" i="1"/>
  <c r="C248" i="1" s="1"/>
  <c r="H208" i="1"/>
  <c r="F4" i="1"/>
  <c r="H89" i="1" s="1"/>
  <c r="H206" i="1"/>
  <c r="E11" i="1"/>
  <c r="E12" i="1" s="1"/>
  <c r="F88" i="1"/>
  <c r="F54" i="1"/>
  <c r="F55" i="1"/>
  <c r="F48" i="1"/>
  <c r="F51" i="1"/>
  <c r="F52" i="1"/>
  <c r="F56" i="1" s="1"/>
  <c r="F247" i="1" s="1"/>
  <c r="E8" i="1"/>
  <c r="E6" i="1" s="1"/>
  <c r="E17" i="1" s="1"/>
  <c r="F50" i="1"/>
  <c r="F25" i="1"/>
  <c r="E26" i="1"/>
  <c r="E28" i="1" s="1"/>
  <c r="G207" i="1"/>
  <c r="F49" i="1"/>
  <c r="F89" i="1"/>
  <c r="F47" i="1"/>
  <c r="F53" i="1"/>
  <c r="F86" i="1"/>
  <c r="F97" i="1" s="1"/>
  <c r="G209" i="1"/>
  <c r="Q14" i="2"/>
  <c r="G2" i="1"/>
  <c r="G4" i="1" s="1"/>
  <c r="L167" i="1"/>
  <c r="L165" i="1"/>
  <c r="L168" i="1"/>
  <c r="L172" i="1"/>
  <c r="L162" i="1"/>
  <c r="C178" i="1"/>
  <c r="I178" i="1" s="1"/>
  <c r="L171" i="1"/>
  <c r="L169" i="1"/>
  <c r="L170" i="1"/>
  <c r="L173" i="1"/>
  <c r="L163" i="1"/>
  <c r="L164" i="1"/>
  <c r="L166" i="1"/>
  <c r="E27" i="1"/>
  <c r="D177" i="1"/>
  <c r="J177" i="1" s="1"/>
  <c r="C247" i="1"/>
  <c r="B68" i="1"/>
  <c r="B69" i="1" s="1"/>
  <c r="B70" i="1" s="1"/>
  <c r="B221" i="1"/>
  <c r="B251" i="1" s="1"/>
  <c r="B181" i="1"/>
  <c r="H181" i="1" s="1"/>
  <c r="C220" i="1"/>
  <c r="C250" i="1" s="1"/>
  <c r="O160" i="2" l="1"/>
  <c r="O168" i="2"/>
  <c r="O169" i="2"/>
  <c r="N202" i="2"/>
  <c r="O163" i="2"/>
  <c r="O167" i="2"/>
  <c r="O162" i="2"/>
  <c r="O161" i="2"/>
  <c r="O166" i="2"/>
  <c r="O170" i="2"/>
  <c r="O165" i="2"/>
  <c r="O164" i="2"/>
  <c r="F210" i="1"/>
  <c r="E48" i="1"/>
  <c r="C60" i="1" s="1"/>
  <c r="D10" i="1"/>
  <c r="D14" i="1" s="1"/>
  <c r="F205" i="1" s="1"/>
  <c r="E55" i="1"/>
  <c r="C67" i="1" s="1"/>
  <c r="E54" i="1"/>
  <c r="C66" i="1" s="1"/>
  <c r="E88" i="1"/>
  <c r="E89" i="1"/>
  <c r="E51" i="1"/>
  <c r="C63" i="1" s="1"/>
  <c r="E86" i="1"/>
  <c r="E97" i="1" s="1"/>
  <c r="E52" i="1"/>
  <c r="E56" i="1" s="1"/>
  <c r="E247" i="1" s="1"/>
  <c r="E50" i="1"/>
  <c r="C62" i="1" s="1"/>
  <c r="E47" i="1"/>
  <c r="C59" i="1" s="1"/>
  <c r="E53" i="1"/>
  <c r="C65" i="1" s="1"/>
  <c r="D13" i="1"/>
  <c r="F204" i="1" s="1"/>
  <c r="N158" i="2"/>
  <c r="F212" i="1"/>
  <c r="B276" i="1"/>
  <c r="D218" i="1"/>
  <c r="D248" i="1" s="1"/>
  <c r="H48" i="1"/>
  <c r="F5" i="1"/>
  <c r="Q18" i="2" s="1"/>
  <c r="H51" i="1"/>
  <c r="H55" i="1"/>
  <c r="H54" i="1"/>
  <c r="H207" i="1"/>
  <c r="H52" i="1"/>
  <c r="H56" i="1" s="1"/>
  <c r="H247" i="1" s="1"/>
  <c r="H86" i="1"/>
  <c r="H97" i="1" s="1"/>
  <c r="H88" i="1"/>
  <c r="F8" i="1"/>
  <c r="F6" i="1" s="1"/>
  <c r="F17" i="1" s="1"/>
  <c r="H53" i="1"/>
  <c r="H47" i="1"/>
  <c r="H209" i="1"/>
  <c r="F26" i="1"/>
  <c r="F28" i="1" s="1"/>
  <c r="H50" i="1"/>
  <c r="F11" i="1"/>
  <c r="F12" i="1" s="1"/>
  <c r="H49" i="1"/>
  <c r="G11" i="1"/>
  <c r="G12" i="1" s="1"/>
  <c r="J88" i="1"/>
  <c r="G3" i="1"/>
  <c r="G5" i="1" s="1"/>
  <c r="R18" i="2" s="1"/>
  <c r="E9" i="1"/>
  <c r="E18" i="1"/>
  <c r="E7" i="1"/>
  <c r="G55" i="1" s="1"/>
  <c r="D67" i="1" s="1"/>
  <c r="J54" i="1"/>
  <c r="J51" i="1"/>
  <c r="J48" i="1"/>
  <c r="G25" i="1"/>
  <c r="G26" i="1" s="1"/>
  <c r="J86" i="1"/>
  <c r="J97" i="1" s="1"/>
  <c r="G8" i="1"/>
  <c r="G6" i="1" s="1"/>
  <c r="G17" i="1" s="1"/>
  <c r="E29" i="1"/>
  <c r="M168" i="1" s="1"/>
  <c r="J55" i="1"/>
  <c r="J89" i="1"/>
  <c r="J50" i="1"/>
  <c r="J49" i="1"/>
  <c r="J53" i="1"/>
  <c r="J52" i="1"/>
  <c r="J47" i="1"/>
  <c r="I206" i="1"/>
  <c r="I207" i="1" s="1"/>
  <c r="I208" i="1"/>
  <c r="I209" i="1" s="1"/>
  <c r="B303" i="1"/>
  <c r="O159" i="2"/>
  <c r="C179" i="1"/>
  <c r="I179" i="1" s="1"/>
  <c r="B301" i="1"/>
  <c r="B275" i="1"/>
  <c r="D178" i="1"/>
  <c r="J178" i="1" s="1"/>
  <c r="B302" i="1"/>
  <c r="B277" i="1"/>
  <c r="C221" i="1"/>
  <c r="C251" i="1" s="1"/>
  <c r="B278" i="1" s="1"/>
  <c r="B182" i="1"/>
  <c r="H182" i="1" s="1"/>
  <c r="S18" i="2" l="1"/>
  <c r="D328" i="1"/>
  <c r="O44" i="2"/>
  <c r="D346" i="1"/>
  <c r="O36" i="2"/>
  <c r="O22" i="2"/>
  <c r="D330" i="1"/>
  <c r="O35" i="2"/>
  <c r="D332" i="1"/>
  <c r="D335" i="1"/>
  <c r="O25" i="2"/>
  <c r="F213" i="1"/>
  <c r="D337" i="1"/>
  <c r="D339" i="1"/>
  <c r="O23" i="2"/>
  <c r="O38" i="2"/>
  <c r="D334" i="1"/>
  <c r="D347" i="1"/>
  <c r="O32" i="2"/>
  <c r="O27" i="2"/>
  <c r="O24" i="2"/>
  <c r="D341" i="1"/>
  <c r="D336" i="1"/>
  <c r="D342" i="1"/>
  <c r="D331" i="1"/>
  <c r="D340" i="1"/>
  <c r="O39" i="2"/>
  <c r="O31" i="2"/>
  <c r="F211" i="1"/>
  <c r="D348" i="1"/>
  <c r="D338" i="1"/>
  <c r="D345" i="1"/>
  <c r="D350" i="1"/>
  <c r="O33" i="2"/>
  <c r="O37" i="2"/>
  <c r="O30" i="2"/>
  <c r="O26" i="2"/>
  <c r="C68" i="1"/>
  <c r="C69" i="1" s="1"/>
  <c r="C70" i="1" s="1"/>
  <c r="D349" i="1"/>
  <c r="D351" i="1"/>
  <c r="D343" i="1"/>
  <c r="D344" i="1"/>
  <c r="D333" i="1"/>
  <c r="D329" i="1"/>
  <c r="O28" i="2"/>
  <c r="O47" i="2"/>
  <c r="O34" i="2"/>
  <c r="O46" i="2"/>
  <c r="O29" i="2"/>
  <c r="D99" i="1"/>
  <c r="C64" i="1"/>
  <c r="E177" i="1"/>
  <c r="K177" i="1" s="1"/>
  <c r="E13" i="1"/>
  <c r="G204" i="1" s="1"/>
  <c r="B222" i="1"/>
  <c r="B252" i="1" s="1"/>
  <c r="D219" i="1"/>
  <c r="D249" i="1" s="1"/>
  <c r="H218" i="1"/>
  <c r="H248" i="1" s="1"/>
  <c r="F218" i="1"/>
  <c r="F248" i="1" s="1"/>
  <c r="E218" i="1"/>
  <c r="E248" i="1" s="1"/>
  <c r="Q10" i="2"/>
  <c r="F27" i="1"/>
  <c r="F29" i="1" s="1"/>
  <c r="N171" i="1" s="1"/>
  <c r="G212" i="1"/>
  <c r="G210" i="1"/>
  <c r="F9" i="1"/>
  <c r="G52" i="1"/>
  <c r="G56" i="1" s="1"/>
  <c r="F7" i="1"/>
  <c r="G50" i="1"/>
  <c r="D62" i="1" s="1"/>
  <c r="F18" i="1"/>
  <c r="G9" i="1"/>
  <c r="G53" i="1"/>
  <c r="D65" i="1" s="1"/>
  <c r="G49" i="1"/>
  <c r="D61" i="1" s="1"/>
  <c r="M166" i="1"/>
  <c r="G89" i="1"/>
  <c r="G54" i="1"/>
  <c r="D66" i="1" s="1"/>
  <c r="G47" i="1"/>
  <c r="D59" i="1" s="1"/>
  <c r="G48" i="1"/>
  <c r="D60" i="1" s="1"/>
  <c r="M173" i="1"/>
  <c r="G86" i="1"/>
  <c r="G97" i="1" s="1"/>
  <c r="G88" i="1"/>
  <c r="G51" i="1"/>
  <c r="D63" i="1" s="1"/>
  <c r="G7" i="1"/>
  <c r="K88" i="1" s="1"/>
  <c r="J56" i="1"/>
  <c r="G18" i="1"/>
  <c r="E30" i="1"/>
  <c r="P165" i="2" s="1"/>
  <c r="M171" i="1"/>
  <c r="M169" i="1"/>
  <c r="M163" i="1"/>
  <c r="M164" i="1"/>
  <c r="M167" i="1"/>
  <c r="M162" i="1"/>
  <c r="M170" i="1"/>
  <c r="G19" i="1"/>
  <c r="R14" i="2"/>
  <c r="M172" i="1"/>
  <c r="M165" i="1"/>
  <c r="G28" i="1"/>
  <c r="E10" i="1"/>
  <c r="P32" i="2" s="1"/>
  <c r="F177" i="1"/>
  <c r="L177" i="1" s="1"/>
  <c r="R10" i="2"/>
  <c r="G27" i="1"/>
  <c r="O202" i="2"/>
  <c r="O158" i="2"/>
  <c r="C180" i="1"/>
  <c r="I180" i="1" s="1"/>
  <c r="D179" i="1"/>
  <c r="J179" i="1" s="1"/>
  <c r="B304" i="1"/>
  <c r="B183" i="1"/>
  <c r="H183" i="1" s="1"/>
  <c r="P161" i="2" l="1"/>
  <c r="F328" i="1"/>
  <c r="D377" i="1"/>
  <c r="D403" i="1"/>
  <c r="D376" i="1"/>
  <c r="D402" i="1"/>
  <c r="D396" i="1"/>
  <c r="D370" i="1"/>
  <c r="D364" i="1"/>
  <c r="D390" i="1"/>
  <c r="D357" i="1"/>
  <c r="D383" i="1"/>
  <c r="D373" i="1"/>
  <c r="D399" i="1"/>
  <c r="D391" i="1"/>
  <c r="D365" i="1"/>
  <c r="D361" i="1"/>
  <c r="D387" i="1"/>
  <c r="D369" i="1"/>
  <c r="D395" i="1"/>
  <c r="D400" i="1"/>
  <c r="D374" i="1"/>
  <c r="D368" i="1"/>
  <c r="D394" i="1"/>
  <c r="D360" i="1"/>
  <c r="D386" i="1"/>
  <c r="D389" i="1"/>
  <c r="D363" i="1"/>
  <c r="D384" i="1"/>
  <c r="D358" i="1"/>
  <c r="D380" i="1"/>
  <c r="D354" i="1"/>
  <c r="D355" i="1"/>
  <c r="D381" i="1"/>
  <c r="D388" i="1"/>
  <c r="D362" i="1"/>
  <c r="D385" i="1"/>
  <c r="D359" i="1"/>
  <c r="D375" i="1"/>
  <c r="D401" i="1"/>
  <c r="D397" i="1"/>
  <c r="D371" i="1"/>
  <c r="D392" i="1"/>
  <c r="D366" i="1"/>
  <c r="D393" i="1"/>
  <c r="D367" i="1"/>
  <c r="D356" i="1"/>
  <c r="D382" i="1"/>
  <c r="D372" i="1"/>
  <c r="D398" i="1"/>
  <c r="D301" i="1"/>
  <c r="O40" i="2"/>
  <c r="E178" i="1"/>
  <c r="K178" i="1" s="1"/>
  <c r="F329" i="1"/>
  <c r="F332" i="1"/>
  <c r="F342" i="1"/>
  <c r="P39" i="2"/>
  <c r="P29" i="2"/>
  <c r="P26" i="2"/>
  <c r="F343" i="1"/>
  <c r="F351" i="1"/>
  <c r="P36" i="2"/>
  <c r="P33" i="2"/>
  <c r="P37" i="2"/>
  <c r="F336" i="1"/>
  <c r="F344" i="1"/>
  <c r="F340" i="1"/>
  <c r="F339" i="1"/>
  <c r="F345" i="1"/>
  <c r="F335" i="1"/>
  <c r="P27" i="2"/>
  <c r="P25" i="2"/>
  <c r="P34" i="2"/>
  <c r="P44" i="2"/>
  <c r="P47" i="2"/>
  <c r="F348" i="1"/>
  <c r="F338" i="1"/>
  <c r="F350" i="1"/>
  <c r="P38" i="2"/>
  <c r="P24" i="2"/>
  <c r="P22" i="2"/>
  <c r="F333" i="1"/>
  <c r="F330" i="1"/>
  <c r="F331" i="1"/>
  <c r="P31" i="2"/>
  <c r="F337" i="1"/>
  <c r="F346" i="1"/>
  <c r="F334" i="1"/>
  <c r="F341" i="1"/>
  <c r="F349" i="1"/>
  <c r="F347" i="1"/>
  <c r="P23" i="2"/>
  <c r="P28" i="2"/>
  <c r="P35" i="2"/>
  <c r="P46" i="2"/>
  <c r="P30" i="2"/>
  <c r="P166" i="2"/>
  <c r="P169" i="2"/>
  <c r="P164" i="2"/>
  <c r="P168" i="2"/>
  <c r="P170" i="2"/>
  <c r="I210" i="1"/>
  <c r="P163" i="2"/>
  <c r="F13" i="1"/>
  <c r="H204" i="1" s="1"/>
  <c r="P162" i="2"/>
  <c r="P167" i="2"/>
  <c r="P160" i="2"/>
  <c r="D275" i="1"/>
  <c r="D220" i="1"/>
  <c r="D250" i="1" s="1"/>
  <c r="C222" i="1"/>
  <c r="C252" i="1" s="1"/>
  <c r="B305" i="1" s="1"/>
  <c r="F219" i="1"/>
  <c r="F249" i="1" s="1"/>
  <c r="E219" i="1"/>
  <c r="E249" i="1" s="1"/>
  <c r="I218" i="1"/>
  <c r="I248" i="1" s="1"/>
  <c r="G218" i="1"/>
  <c r="G248" i="1" s="1"/>
  <c r="H212" i="1"/>
  <c r="I212" i="1"/>
  <c r="H210" i="1"/>
  <c r="K86" i="1"/>
  <c r="K97" i="1" s="1"/>
  <c r="G10" i="1"/>
  <c r="R16" i="2" s="1"/>
  <c r="F99" i="1"/>
  <c r="G13" i="1"/>
  <c r="I204" i="1" s="1"/>
  <c r="D64" i="1"/>
  <c r="I47" i="1"/>
  <c r="E59" i="1" s="1"/>
  <c r="I52" i="1"/>
  <c r="I54" i="1"/>
  <c r="E66" i="1" s="1"/>
  <c r="I49" i="1"/>
  <c r="E61" i="1" s="1"/>
  <c r="I89" i="1"/>
  <c r="I86" i="1"/>
  <c r="I97" i="1" s="1"/>
  <c r="I50" i="1"/>
  <c r="E62" i="1" s="1"/>
  <c r="I48" i="1"/>
  <c r="E60" i="1" s="1"/>
  <c r="I55" i="1"/>
  <c r="E67" i="1" s="1"/>
  <c r="I51" i="1"/>
  <c r="E63" i="1" s="1"/>
  <c r="I88" i="1"/>
  <c r="I53" i="1"/>
  <c r="E65" i="1" s="1"/>
  <c r="F10" i="1"/>
  <c r="Q27" i="2" s="1"/>
  <c r="N170" i="1"/>
  <c r="N167" i="1"/>
  <c r="F178" i="1"/>
  <c r="K52" i="1"/>
  <c r="K51" i="1"/>
  <c r="F63" i="1" s="1"/>
  <c r="K55" i="1"/>
  <c r="F67" i="1" s="1"/>
  <c r="K49" i="1"/>
  <c r="F61" i="1" s="1"/>
  <c r="K53" i="1"/>
  <c r="F65" i="1" s="1"/>
  <c r="K47" i="1"/>
  <c r="F59" i="1" s="1"/>
  <c r="K54" i="1"/>
  <c r="F66" i="1" s="1"/>
  <c r="K50" i="1"/>
  <c r="F62" i="1" s="1"/>
  <c r="K48" i="1"/>
  <c r="F60" i="1" s="1"/>
  <c r="K89" i="1"/>
  <c r="F30" i="1"/>
  <c r="Q168" i="2" s="1"/>
  <c r="N166" i="1"/>
  <c r="N168" i="1"/>
  <c r="G213" i="1"/>
  <c r="E14" i="1"/>
  <c r="G205" i="1" s="1"/>
  <c r="G211" i="1"/>
  <c r="N163" i="1"/>
  <c r="N173" i="1"/>
  <c r="N165" i="1"/>
  <c r="P159" i="2"/>
  <c r="J247" i="1"/>
  <c r="N162" i="1"/>
  <c r="G29" i="1"/>
  <c r="O166" i="1" s="1"/>
  <c r="N169" i="1"/>
  <c r="N164" i="1"/>
  <c r="N172" i="1"/>
  <c r="G247" i="1"/>
  <c r="D68" i="1"/>
  <c r="D69" i="1" s="1"/>
  <c r="D70" i="1" s="1"/>
  <c r="C181" i="1"/>
  <c r="I181" i="1" s="1"/>
  <c r="D180" i="1"/>
  <c r="J180" i="1" s="1"/>
  <c r="B184" i="1"/>
  <c r="H184" i="1" s="1"/>
  <c r="B223" i="1"/>
  <c r="B253" i="1" s="1"/>
  <c r="Q169" i="2" l="1"/>
  <c r="Q170" i="2"/>
  <c r="J344" i="1"/>
  <c r="J370" i="1" s="1"/>
  <c r="J334" i="1"/>
  <c r="J360" i="1" s="1"/>
  <c r="J330" i="1"/>
  <c r="J356" i="1" s="1"/>
  <c r="J339" i="1"/>
  <c r="J365" i="1" s="1"/>
  <c r="J336" i="1"/>
  <c r="J362" i="1" s="1"/>
  <c r="J345" i="1"/>
  <c r="J371" i="1" s="1"/>
  <c r="J342" i="1"/>
  <c r="J368" i="1" s="1"/>
  <c r="J340" i="1"/>
  <c r="J366" i="1" s="1"/>
  <c r="J333" i="1"/>
  <c r="J359" i="1" s="1"/>
  <c r="J329" i="1"/>
  <c r="J355" i="1" s="1"/>
  <c r="J337" i="1"/>
  <c r="J363" i="1" s="1"/>
  <c r="J351" i="1"/>
  <c r="J377" i="1" s="1"/>
  <c r="J347" i="1"/>
  <c r="J373" i="1" s="1"/>
  <c r="J341" i="1"/>
  <c r="J367" i="1" s="1"/>
  <c r="J350" i="1"/>
  <c r="J376" i="1" s="1"/>
  <c r="J346" i="1"/>
  <c r="J372" i="1" s="1"/>
  <c r="J335" i="1"/>
  <c r="J361" i="1" s="1"/>
  <c r="J332" i="1"/>
  <c r="J358" i="1" s="1"/>
  <c r="J328" i="1"/>
  <c r="J354" i="1" s="1"/>
  <c r="J343" i="1"/>
  <c r="J369" i="1" s="1"/>
  <c r="J338" i="1"/>
  <c r="J364" i="1" s="1"/>
  <c r="J349" i="1"/>
  <c r="J375" i="1" s="1"/>
  <c r="J348" i="1"/>
  <c r="J374" i="1" s="1"/>
  <c r="J331" i="1"/>
  <c r="J357" i="1" s="1"/>
  <c r="H328" i="1"/>
  <c r="Q16" i="2"/>
  <c r="F367" i="1"/>
  <c r="F393" i="1"/>
  <c r="F373" i="1"/>
  <c r="F399" i="1"/>
  <c r="F398" i="1"/>
  <c r="F372" i="1"/>
  <c r="F364" i="1"/>
  <c r="F390" i="1"/>
  <c r="F361" i="1"/>
  <c r="F387" i="1"/>
  <c r="F370" i="1"/>
  <c r="F396" i="1"/>
  <c r="F358" i="1"/>
  <c r="F384" i="1"/>
  <c r="F365" i="1"/>
  <c r="F391" i="1"/>
  <c r="F377" i="1"/>
  <c r="F403" i="1"/>
  <c r="F375" i="1"/>
  <c r="F401" i="1"/>
  <c r="F363" i="1"/>
  <c r="F389" i="1"/>
  <c r="F357" i="1"/>
  <c r="F383" i="1"/>
  <c r="F374" i="1"/>
  <c r="F400" i="1"/>
  <c r="F371" i="1"/>
  <c r="F397" i="1"/>
  <c r="F362" i="1"/>
  <c r="F388" i="1"/>
  <c r="F380" i="1"/>
  <c r="F354" i="1"/>
  <c r="F355" i="1"/>
  <c r="F381" i="1"/>
  <c r="F382" i="1"/>
  <c r="F356" i="1"/>
  <c r="E179" i="1"/>
  <c r="K179" i="1" s="1"/>
  <c r="F360" i="1"/>
  <c r="F386" i="1"/>
  <c r="F359" i="1"/>
  <c r="F385" i="1"/>
  <c r="F376" i="1"/>
  <c r="F402" i="1"/>
  <c r="F366" i="1"/>
  <c r="F392" i="1"/>
  <c r="F369" i="1"/>
  <c r="F395" i="1"/>
  <c r="F368" i="1"/>
  <c r="F394" i="1"/>
  <c r="H336" i="1"/>
  <c r="H339" i="1"/>
  <c r="Q37" i="2"/>
  <c r="H345" i="1"/>
  <c r="Q32" i="2"/>
  <c r="Q28" i="2"/>
  <c r="Q26" i="2"/>
  <c r="H346" i="1"/>
  <c r="Q164" i="2"/>
  <c r="Q167" i="2"/>
  <c r="R39" i="2"/>
  <c r="R24" i="2"/>
  <c r="Q160" i="2"/>
  <c r="H335" i="1"/>
  <c r="H348" i="1"/>
  <c r="H334" i="1"/>
  <c r="H330" i="1"/>
  <c r="H349" i="1"/>
  <c r="H333" i="1"/>
  <c r="H341" i="1"/>
  <c r="R32" i="2"/>
  <c r="R37" i="2"/>
  <c r="H331" i="1"/>
  <c r="H342" i="1"/>
  <c r="Q20" i="2"/>
  <c r="Q35" i="2"/>
  <c r="Q24" i="2"/>
  <c r="Q166" i="2"/>
  <c r="Q165" i="2"/>
  <c r="H347" i="1"/>
  <c r="H340" i="1"/>
  <c r="R26" i="2"/>
  <c r="R20" i="2"/>
  <c r="R31" i="2"/>
  <c r="R22" i="2"/>
  <c r="R25" i="2"/>
  <c r="R33" i="2"/>
  <c r="H350" i="1"/>
  <c r="H337" i="1"/>
  <c r="Q31" i="2"/>
  <c r="Q33" i="2"/>
  <c r="Q23" i="2"/>
  <c r="Q22" i="2"/>
  <c r="Q30" i="2"/>
  <c r="Q25" i="2"/>
  <c r="R36" i="2"/>
  <c r="R19" i="2"/>
  <c r="R28" i="2"/>
  <c r="R29" i="2"/>
  <c r="Q161" i="2"/>
  <c r="R30" i="2"/>
  <c r="R23" i="2"/>
  <c r="R34" i="2"/>
  <c r="Q19" i="2"/>
  <c r="Q17" i="2"/>
  <c r="Q162" i="2"/>
  <c r="Q163" i="2"/>
  <c r="H351" i="1"/>
  <c r="H343" i="1"/>
  <c r="H338" i="1"/>
  <c r="R17" i="2"/>
  <c r="R21" i="2"/>
  <c r="R27" i="2"/>
  <c r="R35" i="2"/>
  <c r="R38" i="2"/>
  <c r="H344" i="1"/>
  <c r="H329" i="1"/>
  <c r="H332" i="1"/>
  <c r="Q29" i="2"/>
  <c r="Q38" i="2"/>
  <c r="Q21" i="2"/>
  <c r="Q39" i="2"/>
  <c r="Q34" i="2"/>
  <c r="Q36" i="2"/>
  <c r="F179" i="1"/>
  <c r="L179" i="1" s="1"/>
  <c r="L178" i="1"/>
  <c r="E220" i="1"/>
  <c r="E250" i="1" s="1"/>
  <c r="D303" i="1" s="1"/>
  <c r="F220" i="1"/>
  <c r="F250" i="1" s="1"/>
  <c r="H219" i="1"/>
  <c r="H249" i="1" s="1"/>
  <c r="G219" i="1"/>
  <c r="G249" i="1" s="1"/>
  <c r="F302" i="1" s="1"/>
  <c r="H220" i="1"/>
  <c r="H250" i="1" s="1"/>
  <c r="D221" i="1"/>
  <c r="D251" i="1" s="1"/>
  <c r="B279" i="1"/>
  <c r="D302" i="1"/>
  <c r="D276" i="1"/>
  <c r="J218" i="1"/>
  <c r="J248" i="1" s="1"/>
  <c r="J99" i="1"/>
  <c r="Q159" i="2"/>
  <c r="I211" i="1"/>
  <c r="I213" i="1"/>
  <c r="G14" i="1"/>
  <c r="I205" i="1" s="1"/>
  <c r="H211" i="1"/>
  <c r="F14" i="1"/>
  <c r="H205" i="1" s="1"/>
  <c r="H213" i="1"/>
  <c r="H99" i="1"/>
  <c r="I56" i="1"/>
  <c r="E64" i="1"/>
  <c r="O169" i="1"/>
  <c r="O167" i="1"/>
  <c r="O171" i="1"/>
  <c r="K56" i="1"/>
  <c r="F64" i="1"/>
  <c r="P202" i="2"/>
  <c r="G30" i="1"/>
  <c r="R163" i="2" s="1"/>
  <c r="O172" i="1"/>
  <c r="O164" i="1"/>
  <c r="O168" i="1"/>
  <c r="O173" i="1"/>
  <c r="O162" i="1"/>
  <c r="O170" i="1"/>
  <c r="P158" i="2"/>
  <c r="O163" i="1"/>
  <c r="O165" i="1"/>
  <c r="P40" i="2"/>
  <c r="F275" i="1"/>
  <c r="F301" i="1"/>
  <c r="C182" i="1"/>
  <c r="I182" i="1" s="1"/>
  <c r="D181" i="1"/>
  <c r="J181" i="1" s="1"/>
  <c r="C223" i="1"/>
  <c r="C253" i="1" s="1"/>
  <c r="B280" i="1" s="1"/>
  <c r="B185" i="1"/>
  <c r="H185" i="1" s="1"/>
  <c r="B224" i="1"/>
  <c r="B254" i="1" s="1"/>
  <c r="E180" i="1" l="1"/>
  <c r="K180" i="1" s="1"/>
  <c r="R167" i="2"/>
  <c r="S167" i="2" s="1"/>
  <c r="R170" i="2"/>
  <c r="S170" i="2" s="1"/>
  <c r="R160" i="2"/>
  <c r="S160" i="2" s="1"/>
  <c r="R161" i="2"/>
  <c r="S161" i="2" s="1"/>
  <c r="R166" i="2"/>
  <c r="S166" i="2" s="1"/>
  <c r="R162" i="2"/>
  <c r="S162" i="2" s="1"/>
  <c r="R165" i="2"/>
  <c r="S165" i="2" s="1"/>
  <c r="R169" i="2"/>
  <c r="S169" i="2" s="1"/>
  <c r="R164" i="2"/>
  <c r="S164" i="2" s="1"/>
  <c r="R168" i="2"/>
  <c r="S168" i="2" s="1"/>
  <c r="J380" i="1"/>
  <c r="H358" i="1"/>
  <c r="H384" i="1"/>
  <c r="H355" i="1"/>
  <c r="H381" i="1"/>
  <c r="H377" i="1"/>
  <c r="H403" i="1"/>
  <c r="H368" i="1"/>
  <c r="H394" i="1"/>
  <c r="H359" i="1"/>
  <c r="H385" i="1"/>
  <c r="H374" i="1"/>
  <c r="H400" i="1"/>
  <c r="H370" i="1"/>
  <c r="H396" i="1"/>
  <c r="H364" i="1"/>
  <c r="H390" i="1"/>
  <c r="H376" i="1"/>
  <c r="H402" i="1"/>
  <c r="H357" i="1"/>
  <c r="H383" i="1"/>
  <c r="H375" i="1"/>
  <c r="H401" i="1"/>
  <c r="H361" i="1"/>
  <c r="H387" i="1"/>
  <c r="H380" i="1"/>
  <c r="H354" i="1"/>
  <c r="H373" i="1"/>
  <c r="H399" i="1"/>
  <c r="H356" i="1"/>
  <c r="H382" i="1"/>
  <c r="H365" i="1"/>
  <c r="H391" i="1"/>
  <c r="H369" i="1"/>
  <c r="H395" i="1"/>
  <c r="H363" i="1"/>
  <c r="H389" i="1"/>
  <c r="H366" i="1"/>
  <c r="H392" i="1"/>
  <c r="H393" i="1"/>
  <c r="H367" i="1"/>
  <c r="H360" i="1"/>
  <c r="H386" i="1"/>
  <c r="H372" i="1"/>
  <c r="H398" i="1"/>
  <c r="H371" i="1"/>
  <c r="H397" i="1"/>
  <c r="H362" i="1"/>
  <c r="H388" i="1"/>
  <c r="J384" i="1"/>
  <c r="J400" i="1"/>
  <c r="J393" i="1"/>
  <c r="J403" i="1"/>
  <c r="J391" i="1"/>
  <c r="J388" i="1"/>
  <c r="J398" i="1"/>
  <c r="J399" i="1"/>
  <c r="J394" i="1"/>
  <c r="J381" i="1"/>
  <c r="J402" i="1"/>
  <c r="J396" i="1"/>
  <c r="J392" i="1"/>
  <c r="J387" i="1"/>
  <c r="J389" i="1"/>
  <c r="J395" i="1"/>
  <c r="J390" i="1"/>
  <c r="J382" i="1"/>
  <c r="J385" i="1"/>
  <c r="J397" i="1"/>
  <c r="J383" i="1"/>
  <c r="J401" i="1"/>
  <c r="J386" i="1"/>
  <c r="F180" i="1"/>
  <c r="L180" i="1" s="1"/>
  <c r="D277" i="1"/>
  <c r="F276" i="1"/>
  <c r="I220" i="1"/>
  <c r="I250" i="1" s="1"/>
  <c r="F221" i="1"/>
  <c r="F251" i="1" s="1"/>
  <c r="J219" i="1"/>
  <c r="J249" i="1" s="1"/>
  <c r="J220" i="1"/>
  <c r="J250" i="1" s="1"/>
  <c r="G220" i="1"/>
  <c r="G250" i="1" s="1"/>
  <c r="H221" i="1"/>
  <c r="H251" i="1" s="1"/>
  <c r="E221" i="1"/>
  <c r="E251" i="1" s="1"/>
  <c r="D304" i="1" s="1"/>
  <c r="D222" i="1"/>
  <c r="D252" i="1" s="1"/>
  <c r="I219" i="1"/>
  <c r="I249" i="1" s="1"/>
  <c r="K218" i="1"/>
  <c r="K248" i="1" s="1"/>
  <c r="S22" i="2"/>
  <c r="S33" i="2"/>
  <c r="S31" i="2"/>
  <c r="S24" i="2"/>
  <c r="S38" i="2"/>
  <c r="S27" i="2"/>
  <c r="S32" i="2"/>
  <c r="S25" i="2"/>
  <c r="S39" i="2"/>
  <c r="R40" i="2"/>
  <c r="S21" i="2"/>
  <c r="S30" i="2"/>
  <c r="S26" i="2"/>
  <c r="S23" i="2"/>
  <c r="S36" i="2"/>
  <c r="S29" i="2"/>
  <c r="S35" i="2"/>
  <c r="S28" i="2"/>
  <c r="S17" i="2"/>
  <c r="S16" i="2"/>
  <c r="Q40" i="2"/>
  <c r="S37" i="2"/>
  <c r="S20" i="2"/>
  <c r="S19" i="2"/>
  <c r="I247" i="1"/>
  <c r="E68" i="1"/>
  <c r="E69" i="1" s="1"/>
  <c r="E70" i="1" s="1"/>
  <c r="S34" i="2"/>
  <c r="Q202" i="2"/>
  <c r="S163" i="2"/>
  <c r="Q158" i="2"/>
  <c r="R159" i="2"/>
  <c r="K247" i="1"/>
  <c r="F68" i="1"/>
  <c r="F70" i="1" s="1"/>
  <c r="C183" i="1"/>
  <c r="I183" i="1" s="1"/>
  <c r="D182" i="1"/>
  <c r="J182" i="1" s="1"/>
  <c r="C224" i="1"/>
  <c r="C254" i="1" s="1"/>
  <c r="B281" i="1" s="1"/>
  <c r="B306" i="1"/>
  <c r="B186" i="1"/>
  <c r="H186" i="1" s="1"/>
  <c r="B225" i="1"/>
  <c r="B255" i="1" s="1"/>
  <c r="E181" i="1" l="1"/>
  <c r="K181" i="1" s="1"/>
  <c r="F181" i="1"/>
  <c r="L181" i="1" s="1"/>
  <c r="G221" i="1"/>
  <c r="G251" i="1" s="1"/>
  <c r="F304" i="1" s="1"/>
  <c r="K220" i="1"/>
  <c r="K250" i="1" s="1"/>
  <c r="R45" i="2" s="1"/>
  <c r="J221" i="1"/>
  <c r="J251" i="1" s="1"/>
  <c r="I221" i="1"/>
  <c r="I251" i="1" s="1"/>
  <c r="H278" i="1" s="1"/>
  <c r="H222" i="1"/>
  <c r="H252" i="1" s="1"/>
  <c r="E222" i="1"/>
  <c r="E252" i="1" s="1"/>
  <c r="F303" i="1"/>
  <c r="F277" i="1"/>
  <c r="K219" i="1"/>
  <c r="K249" i="1" s="1"/>
  <c r="J276" i="1" s="1"/>
  <c r="F222" i="1"/>
  <c r="F252" i="1" s="1"/>
  <c r="D278" i="1"/>
  <c r="S40" i="2"/>
  <c r="H275" i="1"/>
  <c r="H277" i="1"/>
  <c r="H276" i="1"/>
  <c r="H303" i="1"/>
  <c r="Q45" i="2" s="1"/>
  <c r="H302" i="1"/>
  <c r="Q44" i="2" s="1"/>
  <c r="F69" i="1"/>
  <c r="H301" i="1"/>
  <c r="Q43" i="2" s="1"/>
  <c r="R43" i="2"/>
  <c r="J275" i="1"/>
  <c r="R158" i="2"/>
  <c r="S158" i="2" s="1"/>
  <c r="R202" i="2"/>
  <c r="S202" i="2" s="1"/>
  <c r="S159" i="2"/>
  <c r="D223" i="1"/>
  <c r="D253" i="1" s="1"/>
  <c r="C184" i="1"/>
  <c r="I184" i="1" s="1"/>
  <c r="F223" i="1"/>
  <c r="F253" i="1" s="1"/>
  <c r="D183" i="1"/>
  <c r="J183" i="1" s="1"/>
  <c r="B307" i="1"/>
  <c r="N49" i="2" s="1"/>
  <c r="B187" i="1"/>
  <c r="H187" i="1" s="1"/>
  <c r="C225" i="1"/>
  <c r="C255" i="1" s="1"/>
  <c r="B282" i="1" s="1"/>
  <c r="B226" i="1"/>
  <c r="B256" i="1" s="1"/>
  <c r="E182" i="1" l="1"/>
  <c r="K182" i="1" s="1"/>
  <c r="J301" i="1"/>
  <c r="J302" i="1"/>
  <c r="F182" i="1"/>
  <c r="L182" i="1" s="1"/>
  <c r="J277" i="1"/>
  <c r="F278" i="1"/>
  <c r="R44" i="2"/>
  <c r="H304" i="1"/>
  <c r="Q46" i="2" s="1"/>
  <c r="I222" i="1"/>
  <c r="I252" i="1" s="1"/>
  <c r="H305" i="1" s="1"/>
  <c r="Q47" i="2" s="1"/>
  <c r="G222" i="1"/>
  <c r="G252" i="1" s="1"/>
  <c r="F305" i="1" s="1"/>
  <c r="D279" i="1"/>
  <c r="D305" i="1"/>
  <c r="J222" i="1"/>
  <c r="J252" i="1" s="1"/>
  <c r="K221" i="1"/>
  <c r="K251" i="1" s="1"/>
  <c r="S45" i="2"/>
  <c r="S43" i="2"/>
  <c r="E223" i="1"/>
  <c r="E253" i="1" s="1"/>
  <c r="G223" i="1"/>
  <c r="G253" i="1" s="1"/>
  <c r="D224" i="1"/>
  <c r="D254" i="1" s="1"/>
  <c r="C226" i="1"/>
  <c r="C256" i="1" s="1"/>
  <c r="B283" i="1" s="1"/>
  <c r="E51" i="2" s="1"/>
  <c r="C185" i="1"/>
  <c r="I185" i="1" s="1"/>
  <c r="F224" i="1"/>
  <c r="F254" i="1" s="1"/>
  <c r="D184" i="1"/>
  <c r="J184" i="1" s="1"/>
  <c r="H223" i="1"/>
  <c r="H253" i="1" s="1"/>
  <c r="B308" i="1"/>
  <c r="N50" i="2" s="1"/>
  <c r="N67" i="2" s="1"/>
  <c r="B227" i="1"/>
  <c r="B257" i="1" s="1"/>
  <c r="B188" i="1"/>
  <c r="H188" i="1" s="1"/>
  <c r="E183" i="1" l="1"/>
  <c r="K183" i="1" s="1"/>
  <c r="H224" i="1" s="1"/>
  <c r="H254" i="1" s="1"/>
  <c r="J303" i="1"/>
  <c r="S44" i="2"/>
  <c r="F183" i="1"/>
  <c r="L183" i="1" s="1"/>
  <c r="H279" i="1"/>
  <c r="J278" i="1"/>
  <c r="R46" i="2"/>
  <c r="S46" i="2" s="1"/>
  <c r="K222" i="1"/>
  <c r="K252" i="1" s="1"/>
  <c r="F279" i="1"/>
  <c r="F306" i="1"/>
  <c r="P48" i="2" s="1"/>
  <c r="F280" i="1"/>
  <c r="B309" i="1"/>
  <c r="N51" i="2" s="1"/>
  <c r="D306" i="1"/>
  <c r="O48" i="2" s="1"/>
  <c r="D280" i="1"/>
  <c r="E224" i="1"/>
  <c r="E254" i="1" s="1"/>
  <c r="J223" i="1"/>
  <c r="J253" i="1" s="1"/>
  <c r="C186" i="1"/>
  <c r="I186" i="1" s="1"/>
  <c r="D225" i="1"/>
  <c r="D255" i="1" s="1"/>
  <c r="G224" i="1"/>
  <c r="G254" i="1" s="1"/>
  <c r="I223" i="1"/>
  <c r="I253" i="1" s="1"/>
  <c r="F225" i="1"/>
  <c r="F255" i="1" s="1"/>
  <c r="D185" i="1"/>
  <c r="J185" i="1" s="1"/>
  <c r="H225" i="1"/>
  <c r="H255" i="1" s="1"/>
  <c r="B189" i="1"/>
  <c r="H189" i="1" s="1"/>
  <c r="B228" i="1"/>
  <c r="B258" i="1" s="1"/>
  <c r="C227" i="1"/>
  <c r="C257" i="1" s="1"/>
  <c r="B284" i="1" s="1"/>
  <c r="E52" i="2" s="1"/>
  <c r="E184" i="1" l="1"/>
  <c r="K184" i="1" s="1"/>
  <c r="I225" i="1" s="1"/>
  <c r="I255" i="1" s="1"/>
  <c r="I224" i="1"/>
  <c r="I254" i="1" s="1"/>
  <c r="J304" i="1"/>
  <c r="F184" i="1"/>
  <c r="L184" i="1" s="1"/>
  <c r="R47" i="2"/>
  <c r="J279" i="1"/>
  <c r="H306" i="1"/>
  <c r="Q48" i="2" s="1"/>
  <c r="H280" i="1"/>
  <c r="F307" i="1"/>
  <c r="P49" i="2" s="1"/>
  <c r="F281" i="1"/>
  <c r="H49" i="2" s="1"/>
  <c r="H281" i="1"/>
  <c r="J49" i="2" s="1"/>
  <c r="D307" i="1"/>
  <c r="O49" i="2" s="1"/>
  <c r="D281" i="1"/>
  <c r="K223" i="1"/>
  <c r="K253" i="1" s="1"/>
  <c r="J224" i="1"/>
  <c r="J254" i="1" s="1"/>
  <c r="C187" i="1"/>
  <c r="I187" i="1" s="1"/>
  <c r="E225" i="1"/>
  <c r="E255" i="1" s="1"/>
  <c r="D226" i="1"/>
  <c r="D256" i="1" s="1"/>
  <c r="G225" i="1"/>
  <c r="G255" i="1" s="1"/>
  <c r="F226" i="1"/>
  <c r="F256" i="1" s="1"/>
  <c r="D186" i="1"/>
  <c r="J186" i="1" s="1"/>
  <c r="H226" i="1"/>
  <c r="H256" i="1" s="1"/>
  <c r="C228" i="1"/>
  <c r="C258" i="1" s="1"/>
  <c r="B285" i="1" s="1"/>
  <c r="E53" i="2" s="1"/>
  <c r="B190" i="1"/>
  <c r="H190" i="1" s="1"/>
  <c r="B229" i="1"/>
  <c r="B259" i="1" s="1"/>
  <c r="B310" i="1"/>
  <c r="N52" i="2" s="1"/>
  <c r="E185" i="1" l="1"/>
  <c r="K185" i="1" s="1"/>
  <c r="I226" i="1" s="1"/>
  <c r="I256" i="1" s="1"/>
  <c r="F185" i="1"/>
  <c r="L185" i="1" s="1"/>
  <c r="H307" i="1"/>
  <c r="Q49" i="2" s="1"/>
  <c r="J305" i="1"/>
  <c r="E186" i="1"/>
  <c r="K186" i="1" s="1"/>
  <c r="H227" i="1" s="1"/>
  <c r="H257" i="1" s="1"/>
  <c r="S47" i="2"/>
  <c r="R48" i="2"/>
  <c r="S48" i="2" s="1"/>
  <c r="J280" i="1"/>
  <c r="F308" i="1"/>
  <c r="P50" i="2" s="1"/>
  <c r="F282" i="1"/>
  <c r="H50" i="2" s="1"/>
  <c r="H308" i="1"/>
  <c r="Q50" i="2" s="1"/>
  <c r="H282" i="1"/>
  <c r="D308" i="1"/>
  <c r="O50" i="2" s="1"/>
  <c r="D282" i="1"/>
  <c r="K224" i="1"/>
  <c r="K254" i="1" s="1"/>
  <c r="J225" i="1"/>
  <c r="J255" i="1" s="1"/>
  <c r="G226" i="1"/>
  <c r="G256" i="1" s="1"/>
  <c r="E226" i="1"/>
  <c r="E256" i="1" s="1"/>
  <c r="C188" i="1"/>
  <c r="I188" i="1" s="1"/>
  <c r="D227" i="1"/>
  <c r="D257" i="1" s="1"/>
  <c r="D187" i="1"/>
  <c r="J187" i="1" s="1"/>
  <c r="F227" i="1"/>
  <c r="F257" i="1" s="1"/>
  <c r="B311" i="1"/>
  <c r="N53" i="2" s="1"/>
  <c r="B191" i="1"/>
  <c r="H191" i="1" s="1"/>
  <c r="B230" i="1"/>
  <c r="B260" i="1" s="1"/>
  <c r="C229" i="1"/>
  <c r="C259" i="1" s="1"/>
  <c r="B286" i="1" s="1"/>
  <c r="E54" i="2" s="1"/>
  <c r="F186" i="1" l="1"/>
  <c r="L186" i="1" s="1"/>
  <c r="J306" i="1"/>
  <c r="E187" i="1"/>
  <c r="K187" i="1" s="1"/>
  <c r="H228" i="1" s="1"/>
  <c r="H258" i="1" s="1"/>
  <c r="R49" i="2"/>
  <c r="J281" i="1"/>
  <c r="H309" i="1"/>
  <c r="Q51" i="2" s="1"/>
  <c r="H283" i="1"/>
  <c r="J51" i="2" s="1"/>
  <c r="F309" i="1"/>
  <c r="P51" i="2" s="1"/>
  <c r="F283" i="1"/>
  <c r="H51" i="2" s="1"/>
  <c r="D283" i="1"/>
  <c r="F51" i="2" s="1"/>
  <c r="E227" i="1"/>
  <c r="E257" i="1" s="1"/>
  <c r="K225" i="1"/>
  <c r="K255" i="1" s="1"/>
  <c r="J226" i="1"/>
  <c r="J256" i="1" s="1"/>
  <c r="D309" i="1"/>
  <c r="O51" i="2" s="1"/>
  <c r="G227" i="1"/>
  <c r="G257" i="1" s="1"/>
  <c r="C189" i="1"/>
  <c r="I189" i="1" s="1"/>
  <c r="D228" i="1"/>
  <c r="D258" i="1" s="1"/>
  <c r="F228" i="1"/>
  <c r="F258" i="1" s="1"/>
  <c r="D188" i="1"/>
  <c r="J188" i="1" s="1"/>
  <c r="I227" i="1"/>
  <c r="I257" i="1" s="1"/>
  <c r="B192" i="1"/>
  <c r="H192" i="1" s="1"/>
  <c r="B312" i="1"/>
  <c r="N54" i="2" s="1"/>
  <c r="C230" i="1"/>
  <c r="C260" i="1" s="1"/>
  <c r="B287" i="1" s="1"/>
  <c r="E55" i="2" s="1"/>
  <c r="B231" i="1"/>
  <c r="B261" i="1" s="1"/>
  <c r="F187" i="1" l="1"/>
  <c r="L187" i="1" s="1"/>
  <c r="J307" i="1"/>
  <c r="E188" i="1"/>
  <c r="K188" i="1" s="1"/>
  <c r="H229" i="1" s="1"/>
  <c r="H259" i="1" s="1"/>
  <c r="S49" i="2"/>
  <c r="R50" i="2"/>
  <c r="J282" i="1"/>
  <c r="F310" i="1"/>
  <c r="P52" i="2" s="1"/>
  <c r="F284" i="1"/>
  <c r="H52" i="2" s="1"/>
  <c r="H310" i="1"/>
  <c r="Q52" i="2" s="1"/>
  <c r="H284" i="1"/>
  <c r="J52" i="2" s="1"/>
  <c r="D310" i="1"/>
  <c r="O52" i="2" s="1"/>
  <c r="D284" i="1"/>
  <c r="F52" i="2" s="1"/>
  <c r="E228" i="1"/>
  <c r="E258" i="1" s="1"/>
  <c r="K226" i="1"/>
  <c r="K256" i="1" s="1"/>
  <c r="J227" i="1"/>
  <c r="J257" i="1" s="1"/>
  <c r="D229" i="1"/>
  <c r="D259" i="1" s="1"/>
  <c r="C190" i="1"/>
  <c r="I190" i="1" s="1"/>
  <c r="F229" i="1"/>
  <c r="F259" i="1" s="1"/>
  <c r="D189" i="1"/>
  <c r="J189" i="1" s="1"/>
  <c r="G228" i="1"/>
  <c r="G258" i="1" s="1"/>
  <c r="I228" i="1"/>
  <c r="I258" i="1" s="1"/>
  <c r="B313" i="1"/>
  <c r="N55" i="2" s="1"/>
  <c r="B232" i="1"/>
  <c r="B262" i="1" s="1"/>
  <c r="B193" i="1"/>
  <c r="H193" i="1" s="1"/>
  <c r="C231" i="1"/>
  <c r="C261" i="1" s="1"/>
  <c r="B288" i="1" s="1"/>
  <c r="E56" i="2" s="1"/>
  <c r="F188" i="1" l="1"/>
  <c r="L188" i="1" s="1"/>
  <c r="J308" i="1"/>
  <c r="E189" i="1"/>
  <c r="K189" i="1" s="1"/>
  <c r="H230" i="1" s="1"/>
  <c r="H260" i="1" s="1"/>
  <c r="S50" i="2"/>
  <c r="R51" i="2"/>
  <c r="J283" i="1"/>
  <c r="H311" i="1"/>
  <c r="Q53" i="2" s="1"/>
  <c r="H285" i="1"/>
  <c r="J53" i="2" s="1"/>
  <c r="F311" i="1"/>
  <c r="P53" i="2" s="1"/>
  <c r="F285" i="1"/>
  <c r="H53" i="2" s="1"/>
  <c r="D311" i="1"/>
  <c r="O53" i="2" s="1"/>
  <c r="D285" i="1"/>
  <c r="F53" i="2" s="1"/>
  <c r="E229" i="1"/>
  <c r="E259" i="1" s="1"/>
  <c r="J228" i="1"/>
  <c r="J258" i="1" s="1"/>
  <c r="K227" i="1"/>
  <c r="K257" i="1" s="1"/>
  <c r="D230" i="1"/>
  <c r="D260" i="1" s="1"/>
  <c r="C191" i="1"/>
  <c r="I191" i="1" s="1"/>
  <c r="I229" i="1"/>
  <c r="I259" i="1" s="1"/>
  <c r="D190" i="1"/>
  <c r="J190" i="1" s="1"/>
  <c r="F230" i="1"/>
  <c r="F260" i="1" s="1"/>
  <c r="G229" i="1"/>
  <c r="G259" i="1" s="1"/>
  <c r="B314" i="1"/>
  <c r="N56" i="2" s="1"/>
  <c r="B233" i="1"/>
  <c r="B263" i="1" s="1"/>
  <c r="B194" i="1"/>
  <c r="H194" i="1" s="1"/>
  <c r="C232" i="1"/>
  <c r="C262" i="1" s="1"/>
  <c r="B289" i="1" s="1"/>
  <c r="E57" i="2" s="1"/>
  <c r="F189" i="1" l="1"/>
  <c r="L189" i="1" s="1"/>
  <c r="L51" i="2"/>
  <c r="J309" i="1"/>
  <c r="E190" i="1"/>
  <c r="K190" i="1" s="1"/>
  <c r="H231" i="1" s="1"/>
  <c r="H261" i="1" s="1"/>
  <c r="S51" i="2"/>
  <c r="J284" i="1"/>
  <c r="F312" i="1"/>
  <c r="P54" i="2" s="1"/>
  <c r="F286" i="1"/>
  <c r="H54" i="2" s="1"/>
  <c r="H312" i="1"/>
  <c r="Q54" i="2" s="1"/>
  <c r="H286" i="1"/>
  <c r="J54" i="2" s="1"/>
  <c r="D312" i="1"/>
  <c r="O54" i="2" s="1"/>
  <c r="D286" i="1"/>
  <c r="F54" i="2" s="1"/>
  <c r="F190" i="1"/>
  <c r="L190" i="1" s="1"/>
  <c r="J229" i="1"/>
  <c r="J259" i="1" s="1"/>
  <c r="K228" i="1"/>
  <c r="K258" i="1" s="1"/>
  <c r="G230" i="1"/>
  <c r="G260" i="1" s="1"/>
  <c r="D231" i="1"/>
  <c r="D261" i="1" s="1"/>
  <c r="E230" i="1"/>
  <c r="E260" i="1" s="1"/>
  <c r="C192" i="1"/>
  <c r="I192" i="1" s="1"/>
  <c r="F231" i="1"/>
  <c r="F261" i="1" s="1"/>
  <c r="D191" i="1"/>
  <c r="J191" i="1" s="1"/>
  <c r="I230" i="1"/>
  <c r="I260" i="1" s="1"/>
  <c r="B315" i="1"/>
  <c r="N57" i="2" s="1"/>
  <c r="C233" i="1"/>
  <c r="C263" i="1" s="1"/>
  <c r="B290" i="1" s="1"/>
  <c r="E58" i="2" s="1"/>
  <c r="B195" i="1"/>
  <c r="H195" i="1" s="1"/>
  <c r="B234" i="1"/>
  <c r="B264" i="1" s="1"/>
  <c r="L52" i="2" l="1"/>
  <c r="J310" i="1"/>
  <c r="R52" i="2" s="1"/>
  <c r="S52" i="2" s="1"/>
  <c r="E191" i="1"/>
  <c r="K191" i="1" s="1"/>
  <c r="H232" i="1" s="1"/>
  <c r="H262" i="1" s="1"/>
  <c r="J285" i="1"/>
  <c r="F313" i="1"/>
  <c r="P55" i="2" s="1"/>
  <c r="F287" i="1"/>
  <c r="H55" i="2" s="1"/>
  <c r="H313" i="1"/>
  <c r="Q55" i="2" s="1"/>
  <c r="H287" i="1"/>
  <c r="J55" i="2" s="1"/>
  <c r="D313" i="1"/>
  <c r="O55" i="2" s="1"/>
  <c r="D287" i="1"/>
  <c r="F55" i="2" s="1"/>
  <c r="K229" i="1"/>
  <c r="K259" i="1" s="1"/>
  <c r="J230" i="1"/>
  <c r="J260" i="1" s="1"/>
  <c r="E231" i="1"/>
  <c r="E261" i="1" s="1"/>
  <c r="F191" i="1"/>
  <c r="L191" i="1" s="1"/>
  <c r="D232" i="1"/>
  <c r="D262" i="1" s="1"/>
  <c r="C193" i="1"/>
  <c r="I193" i="1" s="1"/>
  <c r="G231" i="1"/>
  <c r="G261" i="1" s="1"/>
  <c r="D192" i="1"/>
  <c r="J192" i="1" s="1"/>
  <c r="F232" i="1"/>
  <c r="F262" i="1" s="1"/>
  <c r="I231" i="1"/>
  <c r="I261" i="1" s="1"/>
  <c r="B316" i="1"/>
  <c r="N58" i="2" s="1"/>
  <c r="C234" i="1"/>
  <c r="C264" i="1" s="1"/>
  <c r="B291" i="1" s="1"/>
  <c r="E59" i="2" s="1"/>
  <c r="B235" i="1"/>
  <c r="B265" i="1" s="1"/>
  <c r="B196" i="1"/>
  <c r="H196" i="1" s="1"/>
  <c r="L53" i="2" l="1"/>
  <c r="J311" i="1"/>
  <c r="R53" i="2" s="1"/>
  <c r="S53" i="2" s="1"/>
  <c r="E192" i="1"/>
  <c r="K192" i="1" s="1"/>
  <c r="H233" i="1" s="1"/>
  <c r="H263" i="1" s="1"/>
  <c r="G232" i="1"/>
  <c r="G262" i="1" s="1"/>
  <c r="F315" i="1" s="1"/>
  <c r="P57" i="2" s="1"/>
  <c r="J286" i="1"/>
  <c r="H314" i="1"/>
  <c r="Q56" i="2" s="1"/>
  <c r="H288" i="1"/>
  <c r="J56" i="2" s="1"/>
  <c r="F314" i="1"/>
  <c r="P56" i="2" s="1"/>
  <c r="F288" i="1"/>
  <c r="H56" i="2" s="1"/>
  <c r="D314" i="1"/>
  <c r="O56" i="2" s="1"/>
  <c r="D288" i="1"/>
  <c r="F56" i="2" s="1"/>
  <c r="K230" i="1"/>
  <c r="K260" i="1" s="1"/>
  <c r="J231" i="1"/>
  <c r="J261" i="1" s="1"/>
  <c r="F192" i="1"/>
  <c r="L192" i="1" s="1"/>
  <c r="E232" i="1"/>
  <c r="E262" i="1" s="1"/>
  <c r="C194" i="1"/>
  <c r="I194" i="1" s="1"/>
  <c r="I232" i="1"/>
  <c r="I262" i="1" s="1"/>
  <c r="D233" i="1"/>
  <c r="D263" i="1" s="1"/>
  <c r="F233" i="1"/>
  <c r="F263" i="1" s="1"/>
  <c r="D193" i="1"/>
  <c r="J193" i="1" s="1"/>
  <c r="B317" i="1"/>
  <c r="N59" i="2" s="1"/>
  <c r="B236" i="1"/>
  <c r="B266" i="1" s="1"/>
  <c r="C235" i="1"/>
  <c r="C265" i="1" s="1"/>
  <c r="B292" i="1" s="1"/>
  <c r="E60" i="2" s="1"/>
  <c r="B197" i="1"/>
  <c r="H197" i="1" s="1"/>
  <c r="L54" i="2" l="1"/>
  <c r="J312" i="1"/>
  <c r="R54" i="2" s="1"/>
  <c r="S54" i="2" s="1"/>
  <c r="E193" i="1"/>
  <c r="K193" i="1" s="1"/>
  <c r="H234" i="1" s="1"/>
  <c r="H264" i="1" s="1"/>
  <c r="F289" i="1"/>
  <c r="H57" i="2" s="1"/>
  <c r="J287" i="1"/>
  <c r="H315" i="1"/>
  <c r="Q57" i="2" s="1"/>
  <c r="H289" i="1"/>
  <c r="J57" i="2" s="1"/>
  <c r="D315" i="1"/>
  <c r="O57" i="2" s="1"/>
  <c r="D289" i="1"/>
  <c r="F57" i="2" s="1"/>
  <c r="E233" i="1"/>
  <c r="E263" i="1" s="1"/>
  <c r="K231" i="1"/>
  <c r="K261" i="1" s="1"/>
  <c r="J232" i="1"/>
  <c r="J262" i="1" s="1"/>
  <c r="F193" i="1"/>
  <c r="L193" i="1" s="1"/>
  <c r="D234" i="1"/>
  <c r="D264" i="1" s="1"/>
  <c r="C195" i="1"/>
  <c r="I195" i="1" s="1"/>
  <c r="F234" i="1"/>
  <c r="F264" i="1" s="1"/>
  <c r="D194" i="1"/>
  <c r="J194" i="1" s="1"/>
  <c r="G233" i="1"/>
  <c r="G263" i="1" s="1"/>
  <c r="I233" i="1"/>
  <c r="I263" i="1" s="1"/>
  <c r="C236" i="1"/>
  <c r="C266" i="1" s="1"/>
  <c r="B293" i="1" s="1"/>
  <c r="E61" i="2" s="1"/>
  <c r="B318" i="1"/>
  <c r="N60" i="2" s="1"/>
  <c r="B237" i="1"/>
  <c r="B267" i="1" s="1"/>
  <c r="B198" i="1"/>
  <c r="H198" i="1" s="1"/>
  <c r="L55" i="2" l="1"/>
  <c r="J313" i="1"/>
  <c r="R55" i="2" s="1"/>
  <c r="S55" i="2" s="1"/>
  <c r="E194" i="1"/>
  <c r="K194" i="1" s="1"/>
  <c r="H235" i="1" s="1"/>
  <c r="H265" i="1" s="1"/>
  <c r="J288" i="1"/>
  <c r="H316" i="1"/>
  <c r="Q58" i="2" s="1"/>
  <c r="H290" i="1"/>
  <c r="J58" i="2" s="1"/>
  <c r="F316" i="1"/>
  <c r="P58" i="2" s="1"/>
  <c r="F290" i="1"/>
  <c r="H58" i="2" s="1"/>
  <c r="G234" i="1"/>
  <c r="G264" i="1" s="1"/>
  <c r="D316" i="1"/>
  <c r="O58" i="2" s="1"/>
  <c r="D290" i="1"/>
  <c r="F58" i="2" s="1"/>
  <c r="J233" i="1"/>
  <c r="J263" i="1" s="1"/>
  <c r="K232" i="1"/>
  <c r="K262" i="1" s="1"/>
  <c r="F194" i="1"/>
  <c r="L194" i="1" s="1"/>
  <c r="E234" i="1"/>
  <c r="E264" i="1" s="1"/>
  <c r="D235" i="1"/>
  <c r="D265" i="1" s="1"/>
  <c r="C196" i="1"/>
  <c r="I196" i="1" s="1"/>
  <c r="F235" i="1"/>
  <c r="F265" i="1" s="1"/>
  <c r="D195" i="1"/>
  <c r="J195" i="1" s="1"/>
  <c r="I234" i="1"/>
  <c r="I264" i="1" s="1"/>
  <c r="B319" i="1"/>
  <c r="N61" i="2" s="1"/>
  <c r="C237" i="1"/>
  <c r="C267" i="1" s="1"/>
  <c r="B294" i="1" s="1"/>
  <c r="E62" i="2" s="1"/>
  <c r="B199" i="1"/>
  <c r="H199" i="1" s="1"/>
  <c r="B238" i="1"/>
  <c r="B268" i="1" s="1"/>
  <c r="L56" i="2" l="1"/>
  <c r="J314" i="1"/>
  <c r="R56" i="2" s="1"/>
  <c r="S56" i="2" s="1"/>
  <c r="E195" i="1"/>
  <c r="K195" i="1" s="1"/>
  <c r="J289" i="1"/>
  <c r="H317" i="1"/>
  <c r="Q59" i="2" s="1"/>
  <c r="H291" i="1"/>
  <c r="J59" i="2" s="1"/>
  <c r="F317" i="1"/>
  <c r="P59" i="2" s="1"/>
  <c r="F291" i="1"/>
  <c r="H59" i="2" s="1"/>
  <c r="D317" i="1"/>
  <c r="O59" i="2" s="1"/>
  <c r="D291" i="1"/>
  <c r="F59" i="2" s="1"/>
  <c r="K233" i="1"/>
  <c r="K263" i="1" s="1"/>
  <c r="F195" i="1"/>
  <c r="L195" i="1" s="1"/>
  <c r="J234" i="1"/>
  <c r="J264" i="1" s="1"/>
  <c r="E235" i="1"/>
  <c r="E265" i="1" s="1"/>
  <c r="C197" i="1"/>
  <c r="I197" i="1" s="1"/>
  <c r="D236" i="1"/>
  <c r="D266" i="1" s="1"/>
  <c r="G235" i="1"/>
  <c r="G265" i="1" s="1"/>
  <c r="I235" i="1"/>
  <c r="I265" i="1" s="1"/>
  <c r="F236" i="1"/>
  <c r="F266" i="1" s="1"/>
  <c r="D196" i="1"/>
  <c r="J196" i="1" s="1"/>
  <c r="B320" i="1"/>
  <c r="N62" i="2" s="1"/>
  <c r="B200" i="1"/>
  <c r="H200" i="1" s="1"/>
  <c r="C238" i="1"/>
  <c r="C268" i="1" s="1"/>
  <c r="B295" i="1" s="1"/>
  <c r="E63" i="2" s="1"/>
  <c r="B239" i="1"/>
  <c r="B269" i="1" s="1"/>
  <c r="L57" i="2" l="1"/>
  <c r="J315" i="1"/>
  <c r="R57" i="2" s="1"/>
  <c r="S57" i="2" s="1"/>
  <c r="E196" i="1"/>
  <c r="K196" i="1" s="1"/>
  <c r="H237" i="1" s="1"/>
  <c r="H267" i="1" s="1"/>
  <c r="J290" i="1"/>
  <c r="H318" i="1"/>
  <c r="Q60" i="2" s="1"/>
  <c r="H292" i="1"/>
  <c r="J60" i="2" s="1"/>
  <c r="F318" i="1"/>
  <c r="P60" i="2" s="1"/>
  <c r="F292" i="1"/>
  <c r="H60" i="2" s="1"/>
  <c r="D318" i="1"/>
  <c r="O60" i="2" s="1"/>
  <c r="D292" i="1"/>
  <c r="F60" i="2" s="1"/>
  <c r="E236" i="1"/>
  <c r="E266" i="1" s="1"/>
  <c r="J235" i="1"/>
  <c r="J265" i="1" s="1"/>
  <c r="F196" i="1"/>
  <c r="L196" i="1" s="1"/>
  <c r="K234" i="1"/>
  <c r="K264" i="1" s="1"/>
  <c r="C198" i="1"/>
  <c r="I198" i="1" s="1"/>
  <c r="D237" i="1"/>
  <c r="D267" i="1" s="1"/>
  <c r="G236" i="1"/>
  <c r="G266" i="1" s="1"/>
  <c r="D197" i="1"/>
  <c r="J197" i="1" s="1"/>
  <c r="F237" i="1"/>
  <c r="F267" i="1" s="1"/>
  <c r="H236" i="1"/>
  <c r="H266" i="1" s="1"/>
  <c r="B241" i="1"/>
  <c r="B271" i="1" s="1"/>
  <c r="B321" i="1"/>
  <c r="N63" i="2" s="1"/>
  <c r="C239" i="1"/>
  <c r="C269" i="1" s="1"/>
  <c r="B296" i="1" s="1"/>
  <c r="E64" i="2" s="1"/>
  <c r="B240" i="1"/>
  <c r="B270" i="1" s="1"/>
  <c r="L58" i="2" l="1"/>
  <c r="J316" i="1"/>
  <c r="R58" i="2" s="1"/>
  <c r="S58" i="2" s="1"/>
  <c r="E197" i="1"/>
  <c r="K197" i="1" s="1"/>
  <c r="H238" i="1" s="1"/>
  <c r="H268" i="1" s="1"/>
  <c r="J291" i="1"/>
  <c r="F319" i="1"/>
  <c r="P61" i="2" s="1"/>
  <c r="F293" i="1"/>
  <c r="H61" i="2" s="1"/>
  <c r="D319" i="1"/>
  <c r="O61" i="2" s="1"/>
  <c r="D293" i="1"/>
  <c r="F61" i="2" s="1"/>
  <c r="F197" i="1"/>
  <c r="L197" i="1" s="1"/>
  <c r="J236" i="1"/>
  <c r="J266" i="1" s="1"/>
  <c r="K235" i="1"/>
  <c r="K265" i="1" s="1"/>
  <c r="C199" i="1"/>
  <c r="I199" i="1" s="1"/>
  <c r="I237" i="1"/>
  <c r="I267" i="1" s="1"/>
  <c r="E237" i="1"/>
  <c r="E267" i="1" s="1"/>
  <c r="D238" i="1"/>
  <c r="D268" i="1" s="1"/>
  <c r="G237" i="1"/>
  <c r="G267" i="1" s="1"/>
  <c r="F238" i="1"/>
  <c r="F268" i="1" s="1"/>
  <c r="D198" i="1"/>
  <c r="J198" i="1" s="1"/>
  <c r="I236" i="1"/>
  <c r="I266" i="1" s="1"/>
  <c r="C240" i="1"/>
  <c r="C270" i="1" s="1"/>
  <c r="B297" i="1" s="1"/>
  <c r="E65" i="2" s="1"/>
  <c r="B322" i="1"/>
  <c r="N64" i="2" s="1"/>
  <c r="C241" i="1"/>
  <c r="C271" i="1" s="1"/>
  <c r="B298" i="1" s="1"/>
  <c r="E66" i="2" s="1"/>
  <c r="L59" i="2" l="1"/>
  <c r="J317" i="1"/>
  <c r="R59" i="2" s="1"/>
  <c r="S59" i="2" s="1"/>
  <c r="E198" i="1"/>
  <c r="K198" i="1" s="1"/>
  <c r="H239" i="1" s="1"/>
  <c r="H269" i="1" s="1"/>
  <c r="J292" i="1"/>
  <c r="F320" i="1"/>
  <c r="P62" i="2" s="1"/>
  <c r="F294" i="1"/>
  <c r="H62" i="2" s="1"/>
  <c r="H320" i="1"/>
  <c r="Q62" i="2" s="1"/>
  <c r="H294" i="1"/>
  <c r="J62" i="2" s="1"/>
  <c r="H319" i="1"/>
  <c r="Q61" i="2" s="1"/>
  <c r="H293" i="1"/>
  <c r="J61" i="2" s="1"/>
  <c r="D320" i="1"/>
  <c r="O62" i="2" s="1"/>
  <c r="D294" i="1"/>
  <c r="F62" i="2" s="1"/>
  <c r="K236" i="1"/>
  <c r="K266" i="1" s="1"/>
  <c r="J237" i="1"/>
  <c r="J267" i="1" s="1"/>
  <c r="F198" i="1"/>
  <c r="L198" i="1" s="1"/>
  <c r="E238" i="1"/>
  <c r="E268" i="1" s="1"/>
  <c r="D239" i="1"/>
  <c r="D269" i="1" s="1"/>
  <c r="C200" i="1"/>
  <c r="I200" i="1" s="1"/>
  <c r="F239" i="1"/>
  <c r="F269" i="1" s="1"/>
  <c r="D199" i="1"/>
  <c r="J199" i="1" s="1"/>
  <c r="G238" i="1"/>
  <c r="G268" i="1" s="1"/>
  <c r="I238" i="1"/>
  <c r="I268" i="1" s="1"/>
  <c r="B323" i="1"/>
  <c r="N65" i="2" s="1"/>
  <c r="B324" i="1"/>
  <c r="N66" i="2" s="1"/>
  <c r="L60" i="2" l="1"/>
  <c r="J318" i="1"/>
  <c r="R60" i="2" s="1"/>
  <c r="S60" i="2" s="1"/>
  <c r="E199" i="1"/>
  <c r="K199" i="1" s="1"/>
  <c r="J293" i="1"/>
  <c r="F321" i="1"/>
  <c r="P63" i="2" s="1"/>
  <c r="F295" i="1"/>
  <c r="H63" i="2" s="1"/>
  <c r="H321" i="1"/>
  <c r="Q63" i="2" s="1"/>
  <c r="H295" i="1"/>
  <c r="J63" i="2" s="1"/>
  <c r="D321" i="1"/>
  <c r="O63" i="2" s="1"/>
  <c r="D295" i="1"/>
  <c r="F63" i="2" s="1"/>
  <c r="J238" i="1"/>
  <c r="J268" i="1" s="1"/>
  <c r="K237" i="1"/>
  <c r="K267" i="1" s="1"/>
  <c r="F199" i="1"/>
  <c r="L199" i="1" s="1"/>
  <c r="E239" i="1"/>
  <c r="E269" i="1" s="1"/>
  <c r="D241" i="1"/>
  <c r="D271" i="1" s="1"/>
  <c r="I239" i="1"/>
  <c r="I269" i="1" s="1"/>
  <c r="D240" i="1"/>
  <c r="D270" i="1" s="1"/>
  <c r="F240" i="1"/>
  <c r="F270" i="1" s="1"/>
  <c r="D200" i="1"/>
  <c r="G239" i="1"/>
  <c r="G269" i="1" s="1"/>
  <c r="H240" i="1"/>
  <c r="H270" i="1" s="1"/>
  <c r="L61" i="2" l="1"/>
  <c r="J319" i="1"/>
  <c r="R61" i="2" s="1"/>
  <c r="S61" i="2" s="1"/>
  <c r="E200" i="1"/>
  <c r="K200" i="1" s="1"/>
  <c r="H241" i="1" s="1"/>
  <c r="H271" i="1" s="1"/>
  <c r="J200" i="1"/>
  <c r="F241" i="1" s="1"/>
  <c r="F271" i="1" s="1"/>
  <c r="N68" i="2"/>
  <c r="J294" i="1"/>
  <c r="H322" i="1"/>
  <c r="Q64" i="2" s="1"/>
  <c r="H296" i="1"/>
  <c r="J64" i="2" s="1"/>
  <c r="F322" i="1"/>
  <c r="P64" i="2" s="1"/>
  <c r="F296" i="1"/>
  <c r="H64" i="2" s="1"/>
  <c r="D322" i="1"/>
  <c r="O64" i="2" s="1"/>
  <c r="D296" i="1"/>
  <c r="F64" i="2" s="1"/>
  <c r="I240" i="1"/>
  <c r="I270" i="1" s="1"/>
  <c r="K238" i="1"/>
  <c r="K268" i="1" s="1"/>
  <c r="J239" i="1"/>
  <c r="J269" i="1" s="1"/>
  <c r="F200" i="1"/>
  <c r="L200" i="1" s="1"/>
  <c r="E240" i="1"/>
  <c r="E270" i="1" s="1"/>
  <c r="E241" i="1"/>
  <c r="E271" i="1" s="1"/>
  <c r="G240" i="1"/>
  <c r="G270" i="1" s="1"/>
  <c r="N204" i="2" l="1"/>
  <c r="N207" i="2" s="1"/>
  <c r="L62" i="2"/>
  <c r="J320" i="1"/>
  <c r="R62" i="2" s="1"/>
  <c r="S62" i="2" s="1"/>
  <c r="C157" i="1"/>
  <c r="G241" i="1"/>
  <c r="G271" i="1" s="1"/>
  <c r="I241" i="1"/>
  <c r="I271" i="1" s="1"/>
  <c r="J295" i="1"/>
  <c r="F323" i="1"/>
  <c r="P65" i="2" s="1"/>
  <c r="F297" i="1"/>
  <c r="H65" i="2" s="1"/>
  <c r="H323" i="1"/>
  <c r="Q65" i="2" s="1"/>
  <c r="H297" i="1"/>
  <c r="J65" i="2" s="1"/>
  <c r="D323" i="1"/>
  <c r="O65" i="2" s="1"/>
  <c r="D297" i="1"/>
  <c r="F65" i="2" s="1"/>
  <c r="D324" i="1"/>
  <c r="O66" i="2" s="1"/>
  <c r="D298" i="1"/>
  <c r="F66" i="2" s="1"/>
  <c r="K239" i="1"/>
  <c r="K269" i="1" s="1"/>
  <c r="J240" i="1"/>
  <c r="J270" i="1" s="1"/>
  <c r="J241" i="1"/>
  <c r="J271" i="1" s="1"/>
  <c r="L63" i="2" l="1"/>
  <c r="J321" i="1"/>
  <c r="R63" i="2" s="1"/>
  <c r="S63" i="2" s="1"/>
  <c r="C158" i="1"/>
  <c r="F298" i="1"/>
  <c r="H66" i="2" s="1"/>
  <c r="F324" i="1"/>
  <c r="P66" i="2" s="1"/>
  <c r="H298" i="1"/>
  <c r="J66" i="2" s="1"/>
  <c r="H324" i="1"/>
  <c r="Q66" i="2" s="1"/>
  <c r="C159" i="1"/>
  <c r="J296" i="1"/>
  <c r="O67" i="2"/>
  <c r="K241" i="1"/>
  <c r="K271" i="1" s="1"/>
  <c r="K240" i="1"/>
  <c r="K270" i="1" s="1"/>
  <c r="N208" i="2" l="1"/>
  <c r="L64" i="2"/>
  <c r="J322" i="1"/>
  <c r="R64" i="2" s="1"/>
  <c r="S64" i="2" s="1"/>
  <c r="Q67" i="2"/>
  <c r="Q68" i="2" s="1"/>
  <c r="P67" i="2"/>
  <c r="P68" i="2" s="1"/>
  <c r="P204" i="2" s="1"/>
  <c r="P207" i="2" s="1"/>
  <c r="O68" i="2"/>
  <c r="O204" i="2" s="1"/>
  <c r="J298" i="1"/>
  <c r="J297" i="1"/>
  <c r="O207" i="2" l="1"/>
  <c r="L65" i="2"/>
  <c r="J323" i="1"/>
  <c r="R65" i="2" s="1"/>
  <c r="S65" i="2" s="1"/>
  <c r="L66" i="2"/>
  <c r="J324" i="1"/>
  <c r="R66" i="2" s="1"/>
  <c r="S66" i="2" s="1"/>
  <c r="F157" i="1"/>
  <c r="D157" i="1"/>
  <c r="Q204" i="2"/>
  <c r="E157" i="1"/>
  <c r="R67" i="2" l="1"/>
  <c r="R68" i="2" s="1"/>
  <c r="F159" i="1"/>
  <c r="D159" i="1"/>
  <c r="D158" i="1"/>
  <c r="E159" i="1"/>
  <c r="E158" i="1"/>
  <c r="S67" i="2"/>
  <c r="S68" i="2" s="1"/>
  <c r="Q203" i="2"/>
  <c r="F158" i="1"/>
  <c r="Q205" i="2" s="1"/>
  <c r="Q207" i="2" l="1"/>
  <c r="R204" i="2"/>
  <c r="G157" i="1"/>
  <c r="Q208" i="2" l="1"/>
  <c r="O208" i="2"/>
  <c r="S204" i="2"/>
  <c r="G158" i="1"/>
  <c r="H158" i="1" s="1"/>
  <c r="R203" i="2"/>
  <c r="S203" i="2" s="1"/>
  <c r="G159" i="1"/>
  <c r="H159" i="1" s="1"/>
  <c r="H157" i="1"/>
  <c r="P208" i="2" l="1"/>
  <c r="R205" i="2"/>
  <c r="R207" i="2" l="1"/>
  <c r="R208" i="2" l="1"/>
  <c r="S207" i="2"/>
  <c r="S20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Bunn</author>
  </authors>
  <commentList>
    <comment ref="R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M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K8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for  your reference</t>
        </r>
      </text>
    </comment>
    <comment ref="I15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#GSRs to calculate by # of students; #Qrts to calculate by quarters.  Both fields can take decimals</t>
        </r>
      </text>
    </comment>
  </commentList>
</comments>
</file>

<file path=xl/sharedStrings.xml><?xml version="1.0" encoding="utf-8"?>
<sst xmlns="http://schemas.openxmlformats.org/spreadsheetml/2006/main" count="453" uniqueCount="206">
  <si>
    <t>Project Information</t>
  </si>
  <si>
    <t>Start Date:</t>
  </si>
  <si>
    <t>End Date:</t>
  </si>
  <si>
    <t>Reference Information</t>
  </si>
  <si>
    <t>Personnel</t>
  </si>
  <si>
    <t>Total Salaries</t>
  </si>
  <si>
    <t>Total Benefits</t>
  </si>
  <si>
    <t>PI(s):</t>
  </si>
  <si>
    <t>Year 1</t>
  </si>
  <si>
    <t>Year 2</t>
  </si>
  <si>
    <t>Year 3</t>
  </si>
  <si>
    <t>Year 5</t>
  </si>
  <si>
    <t>Total</t>
  </si>
  <si>
    <t>Type</t>
  </si>
  <si>
    <t>A</t>
  </si>
  <si>
    <t>B</t>
  </si>
  <si>
    <t>Benefits by Person</t>
  </si>
  <si>
    <t>%</t>
  </si>
  <si>
    <t>F</t>
  </si>
  <si>
    <t>D</t>
  </si>
  <si>
    <t>Total Personnel</t>
  </si>
  <si>
    <t>I</t>
  </si>
  <si>
    <t>Initial Fiscal Year:</t>
  </si>
  <si>
    <t>Year 4</t>
  </si>
  <si>
    <t>Project</t>
  </si>
  <si>
    <t>Months in Project Year:</t>
  </si>
  <si>
    <t>Months to fiscal Year:</t>
  </si>
  <si>
    <t>Remaining Months in PY:</t>
  </si>
  <si>
    <t>Current Fringe Rates</t>
  </si>
  <si>
    <t xml:space="preserve">C </t>
  </si>
  <si>
    <t>E</t>
  </si>
  <si>
    <t>G</t>
  </si>
  <si>
    <t>H</t>
  </si>
  <si>
    <t>14/15</t>
  </si>
  <si>
    <t>15/16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</si>
  <si>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</si>
  <si>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</si>
  <si>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</si>
  <si>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</si>
  <si>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</si>
  <si>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</si>
  <si>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</si>
  <si>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</si>
  <si>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16/17</t>
  </si>
  <si>
    <t>Project Fringe Rates</t>
  </si>
  <si>
    <t>Rate 1</t>
  </si>
  <si>
    <t>Rate 2</t>
  </si>
  <si>
    <t xml:space="preserve">Next Fiscal Year Date: </t>
  </si>
  <si>
    <t>Months at Rate 2:</t>
  </si>
  <si>
    <t>Months at Rate1:</t>
  </si>
  <si>
    <t>F-SMR</t>
  </si>
  <si>
    <t>Choose</t>
  </si>
  <si>
    <t>SMR Before FY:</t>
  </si>
  <si>
    <t>SMR After FY:</t>
  </si>
  <si>
    <t>Short Year Summer1:</t>
  </si>
  <si>
    <t>Short Year Summer2:</t>
  </si>
  <si>
    <t>Escalation:</t>
  </si>
  <si>
    <t>Todays Date</t>
  </si>
  <si>
    <t>Months till Next FY</t>
  </si>
  <si>
    <t>Current FY</t>
  </si>
  <si>
    <t>Next FY Date</t>
  </si>
  <si>
    <t>Months till start</t>
  </si>
  <si>
    <t># of fiscal years till start</t>
  </si>
  <si>
    <t>/12</t>
  </si>
  <si>
    <t>Travel</t>
  </si>
  <si>
    <t>Total Travel</t>
  </si>
  <si>
    <t>Supplies</t>
  </si>
  <si>
    <t>Total Supplies</t>
  </si>
  <si>
    <t>Subaward Costs</t>
  </si>
  <si>
    <t>Total Subaward Costs</t>
  </si>
  <si>
    <t>Consultant/Service Agreement Costs</t>
  </si>
  <si>
    <t>Total Other Contractual Costs</t>
  </si>
  <si>
    <t>Total Subaward/Contractual Costs</t>
  </si>
  <si>
    <t>Other Expenses</t>
  </si>
  <si>
    <t>Resident</t>
  </si>
  <si>
    <t>Non-Resident</t>
  </si>
  <si>
    <t>GSR Tuition/Fees</t>
  </si>
  <si>
    <t>Total GSR Tuition/Fees:</t>
  </si>
  <si>
    <t>Other Direct Costs exempt from Indirect costs</t>
  </si>
  <si>
    <t>Total Other Direct Costs</t>
  </si>
  <si>
    <t>Total Direct Costs</t>
  </si>
  <si>
    <t>Indirect Cost Base</t>
  </si>
  <si>
    <t>Indirect Costs</t>
  </si>
  <si>
    <t>Total Costs (Direct + Indirect)</t>
  </si>
  <si>
    <t>Rate Type:</t>
  </si>
  <si>
    <t>Indirect Rates</t>
  </si>
  <si>
    <t>On-Campus Research</t>
  </si>
  <si>
    <t>Off-Campus Research</t>
  </si>
  <si>
    <t>On-Campus Other Sponsored Activities</t>
  </si>
  <si>
    <t>Off-Campus Other Sponsored Activities</t>
  </si>
  <si>
    <t>Instruction</t>
  </si>
  <si>
    <t>Primate Center Federal</t>
  </si>
  <si>
    <t>Primate Center Non-Federal</t>
  </si>
  <si>
    <t>Other:</t>
  </si>
  <si>
    <t>Current Indirect Cost Rates</t>
  </si>
  <si>
    <t>Base Type:</t>
  </si>
  <si>
    <t>MTDC</t>
  </si>
  <si>
    <r>
      <t xml:space="preserve">Other: </t>
    </r>
    <r>
      <rPr>
        <sz val="11"/>
        <color rgb="FFFF0000"/>
        <rFont val="Cambria"/>
        <family val="1"/>
      </rPr>
      <t>(Enter Info Below)</t>
    </r>
  </si>
  <si>
    <t>Custom Indirect Cost Base</t>
  </si>
  <si>
    <t xml:space="preserve">Create a Custom base formula: </t>
  </si>
  <si>
    <t>Next Academic Year:</t>
  </si>
  <si>
    <t>Months till Next AY</t>
  </si>
  <si>
    <t>Months till Start</t>
  </si>
  <si>
    <t># of AY till Start</t>
  </si>
  <si>
    <t>Rates Used</t>
  </si>
  <si>
    <t>Rates as Shown</t>
  </si>
  <si>
    <t>Subaward Totals</t>
  </si>
  <si>
    <t>UC?</t>
  </si>
  <si>
    <t>Total:</t>
  </si>
  <si>
    <t>Subaward Subject to Indirect MTDC</t>
  </si>
  <si>
    <t>Subaward Subject to Indirect TC/TDC</t>
  </si>
  <si>
    <t>TDC</t>
  </si>
  <si>
    <t>TC</t>
  </si>
  <si>
    <t>Type:</t>
  </si>
  <si>
    <t>Academic months 1:</t>
  </si>
  <si>
    <t>Academic months 2:</t>
  </si>
  <si>
    <t>AY1 with Short Years:</t>
  </si>
  <si>
    <t>AY2 with Short Years:</t>
  </si>
  <si>
    <t>Graduate Student Fee Escalations</t>
  </si>
  <si>
    <t>Rate 3</t>
  </si>
  <si>
    <t>Rate 4</t>
  </si>
  <si>
    <t>Rate 5</t>
  </si>
  <si>
    <t>Rate 6</t>
  </si>
  <si>
    <t>Faculty Summer Salary-Shown</t>
  </si>
  <si>
    <t>Faculty Summer Salary-Rate Split</t>
  </si>
  <si>
    <t>Faculty Summer Rates</t>
  </si>
  <si>
    <t>Fringe Shown for Faculty Summer</t>
  </si>
  <si>
    <t>Faculty Summer $</t>
  </si>
  <si>
    <t>Escal</t>
  </si>
  <si>
    <t>Period 1</t>
  </si>
  <si>
    <t>Period 2</t>
  </si>
  <si>
    <t>Period 3</t>
  </si>
  <si>
    <t>Period 5</t>
  </si>
  <si>
    <t>Name/Role:</t>
  </si>
  <si>
    <t>Period 4</t>
  </si>
  <si>
    <t>International?</t>
  </si>
  <si>
    <t>F-SMRA</t>
  </si>
  <si>
    <t>F-SMRB</t>
  </si>
  <si>
    <t>F-SMRC</t>
  </si>
  <si>
    <t>Faculty Summer Available Months</t>
  </si>
  <si>
    <t>R1</t>
  </si>
  <si>
    <t>R2</t>
  </si>
  <si>
    <t>R1 Short:</t>
  </si>
  <si>
    <t>R2: Short</t>
  </si>
  <si>
    <t>R1: Short</t>
  </si>
  <si>
    <t xml:space="preserve">Equipment </t>
  </si>
  <si>
    <t>Total Equipment</t>
  </si>
  <si>
    <t>P1</t>
  </si>
  <si>
    <t>P2</t>
  </si>
  <si>
    <t>P3</t>
  </si>
  <si>
    <t>P4</t>
  </si>
  <si>
    <t>P5</t>
  </si>
  <si>
    <t>#GSRs</t>
  </si>
  <si>
    <t>Name or Notes</t>
  </si>
  <si>
    <t>Buy Down?</t>
  </si>
  <si>
    <t xml:space="preserve">Rates </t>
  </si>
  <si>
    <t>Discount Y/N</t>
  </si>
  <si>
    <t>Tuition Months available</t>
  </si>
  <si>
    <t>Quarters Available</t>
  </si>
  <si>
    <t>Project Period % Effort</t>
  </si>
  <si>
    <t>Per 1</t>
  </si>
  <si>
    <t>Per 2</t>
  </si>
  <si>
    <t>Per 3</t>
  </si>
  <si>
    <t>Per4</t>
  </si>
  <si>
    <t>Per5</t>
  </si>
  <si>
    <t>CAL</t>
  </si>
  <si>
    <t>Salary Basis</t>
  </si>
  <si>
    <t>Use Buydown</t>
  </si>
  <si>
    <t>Faculty Base Salary- 12 months</t>
  </si>
  <si>
    <t>Faculty Base Salary- 11 months</t>
  </si>
  <si>
    <t>Faculty Base Salary- 9 months</t>
  </si>
  <si>
    <t>*</t>
  </si>
  <si>
    <t>Title:</t>
  </si>
  <si>
    <t xml:space="preserve">Total Subaward Indirect Costs: </t>
  </si>
  <si>
    <t>`</t>
  </si>
  <si>
    <t>Total Domestic Travel</t>
  </si>
  <si>
    <t>Total International Travel</t>
  </si>
  <si>
    <t>No</t>
  </si>
  <si>
    <t>Fiscal Year Ranges for Split</t>
  </si>
  <si>
    <t>Primate</t>
  </si>
  <si>
    <t>Annual Salary</t>
  </si>
  <si>
    <t>Primate Center Costs</t>
  </si>
  <si>
    <t>PY</t>
  </si>
  <si>
    <t>UC</t>
  </si>
  <si>
    <t>Multi</t>
  </si>
  <si>
    <t>12 Months</t>
  </si>
  <si>
    <t>Federal</t>
  </si>
  <si>
    <t>NIH</t>
  </si>
  <si>
    <t>Award DC</t>
  </si>
  <si>
    <t>Award IDC</t>
  </si>
  <si>
    <t>7/1/18-6/30/19</t>
  </si>
  <si>
    <t>7/1/19-6/30/20</t>
  </si>
  <si>
    <t>7/1/20-6/30/21</t>
  </si>
  <si>
    <t>FY 2019 Preliminary Fringe Rates:</t>
  </si>
  <si>
    <t>Faculty:</t>
  </si>
  <si>
    <t xml:space="preserve">Professional Staff </t>
  </si>
  <si>
    <t>Classified Staff</t>
  </si>
  <si>
    <t>Post doc trainee</t>
  </si>
  <si>
    <t>Grad Student</t>
  </si>
  <si>
    <t>N/A</t>
  </si>
  <si>
    <t>TBN</t>
  </si>
  <si>
    <t xml:space="preserve">Other Direct Costs </t>
  </si>
  <si>
    <t>PI #2</t>
  </si>
  <si>
    <t xml:space="preserve">PI #1 </t>
  </si>
  <si>
    <t>example: Particpant Incentives ($50/hr for one hour focus group with 7 participants)</t>
  </si>
  <si>
    <t>example: WPRN clinic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</si>
</sst>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&quot;$&quot;#,##0"/>
    <numFmt numFmtId="168" formatCode="_(* #,##0.000_);_(* \(#,##0.000\);_(* &quot;-&quot;??_);_(@_)"/>
    <numFmt numFmtId="169" formatCode="0.0%"/>
    <numFmt numFmtId="170" formatCode="_(* #,##0.0000_);_(* \(#,##0.0000\);_(* &quot;-&quot;??_);_(@_)"/>
    <numFmt numFmtId="171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name val="Cambria"/>
      <family val="1"/>
    </font>
    <font>
      <sz val="11"/>
      <color rgb="FFFF0000"/>
      <name val="Cambria"/>
      <family val="1"/>
    </font>
    <font>
      <sz val="9"/>
      <color theme="1"/>
      <name val="Cambria"/>
      <family val="1"/>
    </font>
    <font>
      <sz val="9"/>
      <color theme="0"/>
      <name val="Cambria"/>
      <family val="1"/>
    </font>
    <font>
      <b/>
      <sz val="9"/>
      <color rgb="FFC0000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11"/>
      <color theme="5"/>
      <name val="Cambria"/>
      <family val="1"/>
    </font>
    <font>
      <i/>
      <sz val="11"/>
      <color theme="1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Cambria"/>
      <family val="1"/>
    </font>
    <font>
      <sz val="9"/>
      <color indexed="81"/>
      <name val="Tahoma"/>
      <family val="2"/>
    </font>
    <font>
      <b/>
      <sz val="11"/>
      <color theme="5" tint="-0.249977111117893"/>
      <name val="Cambria"/>
      <family val="1"/>
    </font>
    <font>
      <b/>
      <sz val="9"/>
      <color theme="5" tint="-0.249977111117893"/>
      <name val="Cambria"/>
      <family val="1"/>
    </font>
    <font>
      <b/>
      <i/>
      <sz val="9"/>
      <color rgb="FFC00000"/>
      <name val="Cambria"/>
      <family val="1"/>
    </font>
    <font>
      <b/>
      <sz val="8"/>
      <name val="Cambria"/>
      <family val="1"/>
    </font>
    <font>
      <b/>
      <sz val="9"/>
      <color theme="8" tint="-0.249977111117893"/>
      <name val="Cambria"/>
      <family val="1"/>
    </font>
    <font>
      <b/>
      <i/>
      <sz val="9"/>
      <color theme="8" tint="-0.249977111117893"/>
      <name val="Cambria"/>
      <family val="1"/>
    </font>
    <font>
      <b/>
      <i/>
      <sz val="9"/>
      <color theme="8" tint="-0.499984740745262"/>
      <name val="Cambria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4" xfId="0" applyFont="1" applyFill="1" applyBorder="1"/>
    <xf numFmtId="1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/>
    <xf numFmtId="14" fontId="2" fillId="2" borderId="0" xfId="0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4" xfId="1" applyNumberFormat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43" fontId="2" fillId="2" borderId="0" xfId="0" applyNumberFormat="1" applyFont="1" applyFill="1"/>
    <xf numFmtId="43" fontId="2" fillId="2" borderId="0" xfId="1" applyNumberFormat="1" applyFont="1" applyFill="1"/>
    <xf numFmtId="0" fontId="2" fillId="2" borderId="4" xfId="0" applyFont="1" applyFill="1" applyBorder="1" applyAlignment="1">
      <alignment horizontal="center"/>
    </xf>
    <xf numFmtId="166" fontId="2" fillId="2" borderId="4" xfId="0" applyNumberFormat="1" applyFont="1" applyFill="1" applyBorder="1"/>
    <xf numFmtId="43" fontId="2" fillId="2" borderId="4" xfId="1" applyFont="1" applyFill="1" applyBorder="1" applyAlignment="1">
      <alignment horizontal="right" wrapText="1"/>
    </xf>
    <xf numFmtId="43" fontId="2" fillId="2" borderId="0" xfId="1" applyFont="1" applyFill="1" applyBorder="1"/>
    <xf numFmtId="0" fontId="2" fillId="2" borderId="0" xfId="0" applyFont="1" applyFill="1" applyBorder="1"/>
    <xf numFmtId="16" fontId="2" fillId="2" borderId="0" xfId="0" applyNumberFormat="1" applyFont="1" applyFill="1" applyBorder="1"/>
    <xf numFmtId="43" fontId="2" fillId="2" borderId="0" xfId="0" applyNumberFormat="1" applyFont="1" applyFill="1" applyBorder="1"/>
    <xf numFmtId="9" fontId="2" fillId="2" borderId="4" xfId="0" applyNumberFormat="1" applyFont="1" applyFill="1" applyBorder="1"/>
    <xf numFmtId="43" fontId="2" fillId="2" borderId="0" xfId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right"/>
    </xf>
    <xf numFmtId="14" fontId="2" fillId="2" borderId="15" xfId="0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right"/>
    </xf>
    <xf numFmtId="14" fontId="2" fillId="2" borderId="12" xfId="0" applyNumberFormat="1" applyFont="1" applyFill="1" applyBorder="1" applyAlignment="1">
      <alignment horizontal="right"/>
    </xf>
    <xf numFmtId="14" fontId="2" fillId="2" borderId="13" xfId="0" applyNumberFormat="1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9" fontId="2" fillId="2" borderId="4" xfId="2" applyFont="1" applyFill="1" applyBorder="1"/>
    <xf numFmtId="9" fontId="2" fillId="2" borderId="0" xfId="2" applyFont="1" applyFill="1"/>
    <xf numFmtId="0" fontId="10" fillId="2" borderId="0" xfId="0" applyFont="1" applyFill="1"/>
    <xf numFmtId="0" fontId="2" fillId="2" borderId="4" xfId="0" applyFont="1" applyFill="1" applyBorder="1" applyAlignment="1">
      <alignment horizontal="left"/>
    </xf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2" fillId="2" borderId="0" xfId="1" applyNumberFormat="1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5" xfId="0" applyFont="1" applyFill="1" applyBorder="1"/>
    <xf numFmtId="14" fontId="10" fillId="2" borderId="0" xfId="0" applyNumberFormat="1" applyFont="1" applyFill="1"/>
    <xf numFmtId="0" fontId="10" fillId="4" borderId="2" xfId="0" applyFont="1" applyFill="1" applyBorder="1"/>
    <xf numFmtId="0" fontId="6" fillId="4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4" fontId="6" fillId="2" borderId="0" xfId="1" applyNumberFormat="1" applyFont="1" applyFill="1" applyBorder="1"/>
    <xf numFmtId="0" fontId="14" fillId="4" borderId="2" xfId="0" applyFont="1" applyFill="1" applyBorder="1"/>
    <xf numFmtId="0" fontId="14" fillId="4" borderId="4" xfId="0" applyFont="1" applyFill="1" applyBorder="1"/>
    <xf numFmtId="0" fontId="14" fillId="4" borderId="3" xfId="0" applyFont="1" applyFill="1" applyBorder="1"/>
    <xf numFmtId="0" fontId="10" fillId="4" borderId="3" xfId="0" applyFont="1" applyFill="1" applyBorder="1"/>
    <xf numFmtId="0" fontId="7" fillId="4" borderId="1" xfId="0" applyFont="1" applyFill="1" applyBorder="1"/>
    <xf numFmtId="0" fontId="10" fillId="4" borderId="2" xfId="0" applyFont="1" applyFill="1" applyBorder="1" applyAlignment="1"/>
    <xf numFmtId="0" fontId="10" fillId="2" borderId="1" xfId="0" applyFont="1" applyFill="1" applyBorder="1"/>
    <xf numFmtId="0" fontId="10" fillId="2" borderId="15" xfId="0" applyFont="1" applyFill="1" applyBorder="1"/>
    <xf numFmtId="0" fontId="7" fillId="2" borderId="1" xfId="0" applyFont="1" applyFill="1" applyBorder="1"/>
    <xf numFmtId="37" fontId="10" fillId="2" borderId="4" xfId="1" applyNumberFormat="1" applyFont="1" applyFill="1" applyBorder="1"/>
    <xf numFmtId="37" fontId="15" fillId="2" borderId="3" xfId="0" applyNumberFormat="1" applyFont="1" applyFill="1" applyBorder="1"/>
    <xf numFmtId="0" fontId="10" fillId="4" borderId="6" xfId="0" applyFont="1" applyFill="1" applyBorder="1"/>
    <xf numFmtId="0" fontId="10" fillId="4" borderId="10" xfId="0" applyFont="1" applyFill="1" applyBorder="1"/>
    <xf numFmtId="167" fontId="6" fillId="4" borderId="4" xfId="4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4" xfId="1" applyFont="1" applyFill="1" applyBorder="1"/>
    <xf numFmtId="0" fontId="8" fillId="4" borderId="2" xfId="0" applyFont="1" applyFill="1" applyBorder="1"/>
    <xf numFmtId="0" fontId="17" fillId="2" borderId="4" xfId="0" applyFont="1" applyFill="1" applyBorder="1" applyAlignment="1">
      <alignment horizontal="right"/>
    </xf>
    <xf numFmtId="14" fontId="17" fillId="2" borderId="4" xfId="0" applyNumberFormat="1" applyFont="1" applyFill="1" applyBorder="1" applyAlignment="1">
      <alignment horizontal="right"/>
    </xf>
    <xf numFmtId="43" fontId="17" fillId="2" borderId="4" xfId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5" fontId="2" fillId="2" borderId="0" xfId="0" applyNumberFormat="1" applyFont="1" applyFill="1"/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2" fillId="2" borderId="0" xfId="0" applyFont="1" applyFill="1" applyBorder="1" applyAlignment="1">
      <alignment vertical="center"/>
    </xf>
    <xf numFmtId="0" fontId="18" fillId="2" borderId="4" xfId="0" applyFont="1" applyFill="1" applyBorder="1"/>
    <xf numFmtId="168" fontId="3" fillId="2" borderId="4" xfId="1" applyNumberFormat="1" applyFont="1" applyFill="1" applyBorder="1" applyAlignment="1"/>
    <xf numFmtId="0" fontId="13" fillId="4" borderId="2" xfId="0" applyFont="1" applyFill="1" applyBorder="1" applyAlignment="1">
      <alignment horizontal="left"/>
    </xf>
    <xf numFmtId="14" fontId="2" fillId="2" borderId="0" xfId="0" applyNumberFormat="1" applyFont="1" applyFill="1"/>
    <xf numFmtId="37" fontId="10" fillId="2" borderId="4" xfId="0" applyNumberFormat="1" applyFont="1" applyFill="1" applyBorder="1"/>
    <xf numFmtId="3" fontId="10" fillId="2" borderId="4" xfId="0" applyNumberFormat="1" applyFont="1" applyFill="1" applyBorder="1"/>
    <xf numFmtId="3" fontId="14" fillId="4" borderId="4" xfId="0" applyNumberFormat="1" applyFont="1" applyFill="1" applyBorder="1"/>
    <xf numFmtId="37" fontId="8" fillId="4" borderId="4" xfId="0" applyNumberFormat="1" applyFont="1" applyFill="1" applyBorder="1"/>
    <xf numFmtId="3" fontId="10" fillId="2" borderId="4" xfId="1" applyNumberFormat="1" applyFont="1" applyFill="1" applyBorder="1"/>
    <xf numFmtId="3" fontId="8" fillId="4" borderId="4" xfId="0" applyNumberFormat="1" applyFont="1" applyFill="1" applyBorder="1"/>
    <xf numFmtId="0" fontId="6" fillId="2" borderId="11" xfId="0" applyFont="1" applyFill="1" applyBorder="1" applyAlignment="1">
      <alignment horizontal="left"/>
    </xf>
    <xf numFmtId="0" fontId="10" fillId="2" borderId="9" xfId="0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3" fontId="15" fillId="2" borderId="4" xfId="0" applyNumberFormat="1" applyFont="1" applyFill="1" applyBorder="1"/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14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0" xfId="0" applyFont="1" applyFill="1" applyBorder="1"/>
    <xf numFmtId="14" fontId="2" fillId="2" borderId="4" xfId="1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3" fontId="2" fillId="2" borderId="4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23" fillId="2" borderId="4" xfId="0" applyFont="1" applyFill="1" applyBorder="1"/>
    <xf numFmtId="9" fontId="6" fillId="4" borderId="5" xfId="0" applyNumberFormat="1" applyFont="1" applyFill="1" applyBorder="1" applyAlignment="1">
      <alignment horizontal="center"/>
    </xf>
    <xf numFmtId="170" fontId="2" fillId="2" borderId="4" xfId="1" applyNumberFormat="1" applyFont="1" applyFill="1" applyBorder="1" applyAlignment="1">
      <alignment horizontal="right"/>
    </xf>
    <xf numFmtId="169" fontId="2" fillId="2" borderId="4" xfId="2" applyNumberFormat="1" applyFont="1" applyFill="1" applyBorder="1"/>
    <xf numFmtId="0" fontId="14" fillId="4" borderId="6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1" fontId="3" fillId="2" borderId="4" xfId="0" applyNumberFormat="1" applyFont="1" applyFill="1" applyBorder="1" applyAlignment="1">
      <alignment horizontal="right"/>
    </xf>
    <xf numFmtId="165" fontId="2" fillId="2" borderId="4" xfId="0" applyNumberFormat="1" applyFont="1" applyFill="1" applyBorder="1"/>
    <xf numFmtId="167" fontId="27" fillId="2" borderId="4" xfId="4" applyNumberFormat="1" applyFont="1" applyFill="1" applyBorder="1"/>
    <xf numFmtId="167" fontId="28" fillId="2" borderId="4" xfId="4" applyNumberFormat="1" applyFont="1" applyFill="1" applyBorder="1"/>
    <xf numFmtId="37" fontId="6" fillId="5" borderId="4" xfId="1" applyNumberFormat="1" applyFont="1" applyFill="1" applyBorder="1"/>
    <xf numFmtId="3" fontId="6" fillId="5" borderId="4" xfId="1" applyNumberFormat="1" applyFont="1" applyFill="1" applyBorder="1"/>
    <xf numFmtId="0" fontId="14" fillId="5" borderId="2" xfId="0" applyFont="1" applyFill="1" applyBorder="1"/>
    <xf numFmtId="3" fontId="8" fillId="5" borderId="4" xfId="0" applyNumberFormat="1" applyFont="1" applyFill="1" applyBorder="1"/>
    <xf numFmtId="37" fontId="8" fillId="5" borderId="4" xfId="0" applyNumberFormat="1" applyFont="1" applyFill="1" applyBorder="1"/>
    <xf numFmtId="0" fontId="14" fillId="5" borderId="1" xfId="0" applyFont="1" applyFill="1" applyBorder="1"/>
    <xf numFmtId="0" fontId="14" fillId="5" borderId="3" xfId="0" applyFont="1" applyFill="1" applyBorder="1"/>
    <xf numFmtId="0" fontId="13" fillId="5" borderId="1" xfId="0" applyFont="1" applyFill="1" applyBorder="1" applyAlignment="1"/>
    <xf numFmtId="0" fontId="13" fillId="5" borderId="2" xfId="0" applyFont="1" applyFill="1" applyBorder="1" applyAlignment="1"/>
    <xf numFmtId="37" fontId="14" fillId="5" borderId="4" xfId="0" applyNumberFormat="1" applyFont="1" applyFill="1" applyBorder="1"/>
    <xf numFmtId="3" fontId="14" fillId="5" borderId="4" xfId="0" applyNumberFormat="1" applyFont="1" applyFill="1" applyBorder="1"/>
    <xf numFmtId="0" fontId="6" fillId="5" borderId="1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37" fontId="7" fillId="7" borderId="4" xfId="1" applyNumberFormat="1" applyFont="1" applyFill="1" applyBorder="1"/>
    <xf numFmtId="37" fontId="6" fillId="7" borderId="4" xfId="1" applyNumberFormat="1" applyFont="1" applyFill="1" applyBorder="1"/>
    <xf numFmtId="14" fontId="2" fillId="2" borderId="8" xfId="0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14" fontId="2" fillId="2" borderId="5" xfId="0" applyNumberFormat="1" applyFont="1" applyFill="1" applyBorder="1" applyAlignment="1">
      <alignment horizontal="right"/>
    </xf>
    <xf numFmtId="0" fontId="6" fillId="4" borderId="1" xfId="0" applyFont="1" applyFill="1" applyBorder="1" applyAlignment="1" applyProtection="1">
      <alignment horizontal="center"/>
      <protection locked="0"/>
    </xf>
    <xf numFmtId="37" fontId="10" fillId="2" borderId="4" xfId="1" applyNumberFormat="1" applyFont="1" applyFill="1" applyBorder="1" applyProtection="1">
      <protection hidden="1"/>
    </xf>
    <xf numFmtId="3" fontId="10" fillId="2" borderId="4" xfId="1" applyNumberFormat="1" applyFont="1" applyFill="1" applyBorder="1" applyProtection="1">
      <protection hidden="1"/>
    </xf>
    <xf numFmtId="37" fontId="6" fillId="5" borderId="4" xfId="1" applyNumberFormat="1" applyFont="1" applyFill="1" applyBorder="1" applyProtection="1">
      <protection hidden="1"/>
    </xf>
    <xf numFmtId="0" fontId="10" fillId="2" borderId="4" xfId="0" applyFont="1" applyFill="1" applyBorder="1" applyAlignment="1" applyProtection="1">
      <alignment horizontal="center"/>
      <protection locked="0"/>
    </xf>
    <xf numFmtId="9" fontId="11" fillId="2" borderId="3" xfId="0" applyNumberFormat="1" applyFont="1" applyFill="1" applyBorder="1" applyProtection="1"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64" fontId="10" fillId="2" borderId="2" xfId="0" applyNumberFormat="1" applyFont="1" applyFill="1" applyBorder="1" applyAlignment="1" applyProtection="1">
      <protection locked="0"/>
    </xf>
    <xf numFmtId="164" fontId="10" fillId="2" borderId="3" xfId="0" applyNumberFormat="1" applyFont="1" applyFill="1" applyBorder="1" applyAlignment="1" applyProtection="1">
      <protection locked="0"/>
    </xf>
    <xf numFmtId="164" fontId="10" fillId="2" borderId="1" xfId="1" applyNumberFormat="1" applyFont="1" applyFill="1" applyBorder="1" applyAlignment="1" applyProtection="1">
      <protection locked="0"/>
    </xf>
    <xf numFmtId="14" fontId="12" fillId="2" borderId="4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locked="0"/>
    </xf>
    <xf numFmtId="3" fontId="6" fillId="5" borderId="4" xfId="1" applyNumberFormat="1" applyFont="1" applyFill="1" applyBorder="1" applyProtection="1">
      <protection hidden="1"/>
    </xf>
    <xf numFmtId="3" fontId="6" fillId="4" borderId="4" xfId="1" applyNumberFormat="1" applyFont="1" applyFill="1" applyBorder="1" applyProtection="1">
      <protection hidden="1"/>
    </xf>
    <xf numFmtId="0" fontId="10" fillId="2" borderId="2" xfId="0" applyFont="1" applyFill="1" applyBorder="1" applyProtection="1">
      <protection locked="0"/>
    </xf>
    <xf numFmtId="3" fontId="10" fillId="2" borderId="4" xfId="0" applyNumberFormat="1" applyFont="1" applyFill="1" applyBorder="1" applyProtection="1">
      <protection locked="0"/>
    </xf>
    <xf numFmtId="37" fontId="10" fillId="2" borderId="4" xfId="1" applyNumberFormat="1" applyFont="1" applyFill="1" applyBorder="1" applyProtection="1">
      <protection locked="0"/>
    </xf>
    <xf numFmtId="37" fontId="10" fillId="2" borderId="4" xfId="0" applyNumberFormat="1" applyFont="1" applyFill="1" applyBorder="1" applyProtection="1">
      <protection locked="0"/>
    </xf>
    <xf numFmtId="9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26" fillId="3" borderId="5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3" fontId="14" fillId="4" borderId="4" xfId="0" applyNumberFormat="1" applyFont="1" applyFill="1" applyBorder="1" applyProtection="1">
      <protection locked="0"/>
    </xf>
    <xf numFmtId="3" fontId="10" fillId="2" borderId="4" xfId="1" applyNumberFormat="1" applyFont="1" applyFill="1" applyBorder="1" applyProtection="1">
      <protection locked="0"/>
    </xf>
    <xf numFmtId="9" fontId="6" fillId="4" borderId="16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/>
    <xf numFmtId="9" fontId="10" fillId="8" borderId="4" xfId="2" applyNumberFormat="1" applyFont="1" applyFill="1" applyBorder="1" applyProtection="1">
      <protection locked="0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3" fontId="6" fillId="5" borderId="4" xfId="0" applyNumberFormat="1" applyFont="1" applyFill="1" applyBorder="1" applyProtection="1"/>
    <xf numFmtId="37" fontId="10" fillId="2" borderId="4" xfId="1" applyNumberFormat="1" applyFont="1" applyFill="1" applyBorder="1" applyProtection="1"/>
    <xf numFmtId="3" fontId="10" fillId="2" borderId="4" xfId="1" applyNumberFormat="1" applyFont="1" applyFill="1" applyBorder="1" applyProtection="1"/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43" fontId="10" fillId="2" borderId="0" xfId="0" applyNumberFormat="1" applyFont="1" applyFill="1" applyProtection="1">
      <protection locked="0"/>
    </xf>
    <xf numFmtId="43" fontId="10" fillId="2" borderId="0" xfId="1" applyFont="1" applyFill="1" applyProtection="1">
      <protection locked="0"/>
    </xf>
    <xf numFmtId="37" fontId="10" fillId="2" borderId="0" xfId="0" applyNumberFormat="1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67" fontId="6" fillId="2" borderId="0" xfId="4" applyNumberFormat="1" applyFont="1" applyFill="1" applyBorder="1" applyProtection="1">
      <protection locked="0"/>
    </xf>
    <xf numFmtId="164" fontId="10" fillId="2" borderId="0" xfId="1" applyNumberFormat="1" applyFont="1" applyFill="1" applyProtection="1">
      <protection locked="0"/>
    </xf>
    <xf numFmtId="0" fontId="30" fillId="2" borderId="4" xfId="0" applyFont="1" applyFill="1" applyBorder="1" applyAlignment="1">
      <alignment horizontal="left"/>
    </xf>
    <xf numFmtId="37" fontId="14" fillId="2" borderId="4" xfId="1" applyNumberFormat="1" applyFont="1" applyFill="1" applyBorder="1" applyProtection="1"/>
    <xf numFmtId="37" fontId="8" fillId="2" borderId="4" xfId="0" applyNumberFormat="1" applyFont="1" applyFill="1" applyBorder="1"/>
    <xf numFmtId="9" fontId="16" fillId="2" borderId="6" xfId="0" applyNumberFormat="1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center"/>
      <protection hidden="1"/>
    </xf>
    <xf numFmtId="0" fontId="28" fillId="2" borderId="1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right"/>
    </xf>
    <xf numFmtId="38" fontId="10" fillId="9" borderId="0" xfId="1" applyNumberFormat="1" applyFont="1" applyFill="1" applyProtection="1">
      <protection locked="0"/>
    </xf>
    <xf numFmtId="164" fontId="10" fillId="9" borderId="0" xfId="1" applyNumberFormat="1" applyFont="1" applyFill="1" applyProtection="1">
      <protection locked="0"/>
    </xf>
    <xf numFmtId="0" fontId="7" fillId="4" borderId="2" xfId="0" applyFont="1" applyFill="1" applyBorder="1" applyAlignment="1">
      <alignment horizontal="left"/>
    </xf>
    <xf numFmtId="37" fontId="8" fillId="6" borderId="4" xfId="0" applyNumberFormat="1" applyFont="1" applyFill="1" applyBorder="1"/>
    <xf numFmtId="10" fontId="10" fillId="2" borderId="0" xfId="0" applyNumberFormat="1" applyFont="1" applyFill="1" applyProtection="1">
      <protection locked="0"/>
    </xf>
    <xf numFmtId="0" fontId="14" fillId="2" borderId="9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>
      <alignment horizontal="left"/>
    </xf>
    <xf numFmtId="0" fontId="6" fillId="9" borderId="0" xfId="0" applyFont="1" applyFill="1" applyProtection="1">
      <protection locked="0"/>
    </xf>
    <xf numFmtId="49" fontId="10" fillId="2" borderId="0" xfId="0" applyNumberFormat="1" applyFont="1" applyFill="1" applyProtection="1">
      <protection locked="0"/>
    </xf>
    <xf numFmtId="3" fontId="8" fillId="4" borderId="4" xfId="0" applyNumberFormat="1" applyFont="1" applyFill="1" applyBorder="1" applyAlignment="1">
      <alignment horizontal="right"/>
    </xf>
    <xf numFmtId="37" fontId="8" fillId="4" borderId="4" xfId="0" applyNumberFormat="1" applyFont="1" applyFill="1" applyBorder="1" applyAlignment="1">
      <alignment horizontal="right"/>
    </xf>
    <xf numFmtId="37" fontId="6" fillId="5" borderId="4" xfId="1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9" fontId="2" fillId="2" borderId="1" xfId="2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9" fontId="2" fillId="2" borderId="4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21" fillId="3" borderId="8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4" xfId="0" quotePrefix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0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164" fontId="10" fillId="2" borderId="2" xfId="1" applyNumberFormat="1" applyFont="1" applyFill="1" applyBorder="1" applyAlignment="1" applyProtection="1">
      <alignment horizontal="right"/>
      <protection locked="0"/>
    </xf>
    <xf numFmtId="164" fontId="10" fillId="2" borderId="3" xfId="1" applyNumberFormat="1" applyFont="1" applyFill="1" applyBorder="1" applyAlignment="1" applyProtection="1">
      <alignment horizontal="righ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25" fillId="3" borderId="1" xfId="0" applyFont="1" applyFill="1" applyBorder="1" applyAlignment="1" applyProtection="1">
      <alignment horizontal="left"/>
      <protection locked="0"/>
    </xf>
    <xf numFmtId="0" fontId="25" fillId="3" borderId="3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27" fillId="2" borderId="1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4" fontId="24" fillId="2" borderId="18" xfId="0" applyNumberFormat="1" applyFont="1" applyFill="1" applyBorder="1" applyAlignment="1" applyProtection="1">
      <alignment horizontal="left"/>
      <protection locked="0"/>
    </xf>
    <xf numFmtId="14" fontId="24" fillId="2" borderId="17" xfId="0" applyNumberFormat="1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169" fontId="10" fillId="2" borderId="1" xfId="0" applyNumberFormat="1" applyFont="1" applyFill="1" applyBorder="1" applyAlignment="1" applyProtection="1">
      <alignment horizontal="center"/>
      <protection locked="0"/>
    </xf>
    <xf numFmtId="169" fontId="10" fillId="2" borderId="3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9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16" fillId="2" borderId="13" xfId="0" applyFont="1" applyFill="1" applyBorder="1" applyAlignment="1" applyProtection="1">
      <alignment horizontal="right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right"/>
    </xf>
  </cellXfs>
  <cellStyles count="19">
    <cellStyle name="Comma" xfId="1" builtinId="3"/>
    <cellStyle name="Comma 10" xfId="3" xr:uid="{00000000-0005-0000-0000-000001000000}"/>
    <cellStyle name="Comma 11" xfId="17" xr:uid="{00000000-0005-0000-0000-000002000000}"/>
    <cellStyle name="Comma 12" xfId="18" xr:uid="{00000000-0005-0000-0000-000003000000}"/>
    <cellStyle name="Comma 2" xfId="10" xr:uid="{00000000-0005-0000-0000-000004000000}"/>
    <cellStyle name="Comma 3" xfId="11" xr:uid="{00000000-0005-0000-0000-000005000000}"/>
    <cellStyle name="Comma 4" xfId="12" xr:uid="{00000000-0005-0000-0000-000006000000}"/>
    <cellStyle name="Comma 5" xfId="13" xr:uid="{00000000-0005-0000-0000-000007000000}"/>
    <cellStyle name="Comma 6" xfId="14" xr:uid="{00000000-0005-0000-0000-000008000000}"/>
    <cellStyle name="Comma 7" xfId="15" xr:uid="{00000000-0005-0000-0000-000009000000}"/>
    <cellStyle name="Comma 8" xfId="16" xr:uid="{00000000-0005-0000-0000-00000A000000}"/>
    <cellStyle name="Comma 9" xfId="8" xr:uid="{00000000-0005-0000-0000-00000B000000}"/>
    <cellStyle name="Currency" xfId="4" builtinId="4"/>
    <cellStyle name="Normal" xfId="0" builtinId="0"/>
    <cellStyle name="Normal 2" xfId="9" xr:uid="{00000000-0005-0000-0000-00000E000000}"/>
    <cellStyle name="Normal 3" xfId="7" xr:uid="{00000000-0005-0000-0000-00000F000000}"/>
    <cellStyle name="Normal 4" xfId="5" xr:uid="{00000000-0005-0000-0000-000010000000}"/>
    <cellStyle name="Percent" xfId="2" builtinId="5"/>
    <cellStyle name="Percent 2" xfId="6" xr:uid="{00000000-0005-0000-0000-000012000000}"/>
  </cellStyles>
  <dxfs count="16"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</dxf>
    <dxf>
      <font>
        <color theme="0"/>
      </font>
    </dxf>
  </dxfs>
  <tableStyles count="0" defaultTableStyle="TableStyleMedium2" defaultPivotStyle="PivotStyleLight16"/>
  <colors>
    <mruColors>
      <color rgb="FFF2F7FC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138542</xdr:colOff>
      <xdr:row>7</xdr:row>
      <xdr:rowOff>126999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C159FD-1CFB-7948-8292-0E11B5606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724" cy="1177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3"/>
  <sheetViews>
    <sheetView workbookViewId="0">
      <selection activeCell="J329" sqref="J329:K329"/>
    </sheetView>
  </sheetViews>
  <sheetFormatPr baseColWidth="10" defaultColWidth="8.83203125" defaultRowHeight="14" x14ac:dyDescent="0.15"/>
  <cols>
    <col min="1" max="1" width="35.1640625" style="1" bestFit="1" customWidth="1"/>
    <col min="2" max="2" width="13.5" style="1" bestFit="1" customWidth="1"/>
    <col min="3" max="5" width="11.83203125" style="1" bestFit="1" customWidth="1"/>
    <col min="6" max="6" width="11.6640625" style="1" customWidth="1"/>
    <col min="7" max="7" width="11.83203125" style="1" bestFit="1" customWidth="1"/>
    <col min="8" max="8" width="12.5" style="1" bestFit="1" customWidth="1"/>
    <col min="9" max="13" width="11.33203125" style="1" bestFit="1" customWidth="1"/>
    <col min="14" max="14" width="11.33203125" style="1" customWidth="1"/>
    <col min="15" max="15" width="12.5" style="1" customWidth="1"/>
    <col min="16" max="16384" width="8.83203125" style="1"/>
  </cols>
  <sheetData>
    <row r="1" spans="1:15" x14ac:dyDescent="0.15">
      <c r="A1" s="2" t="s">
        <v>0</v>
      </c>
      <c r="B1" s="10" t="s">
        <v>24</v>
      </c>
      <c r="C1" s="118">
        <f>IF(Request!N10="0 Months",0,IF(Request!N10="1 month",1,IF(Request!N10="2 months",2,IF(Request!N10="3 months",3,IF(Request!N10="4 months",4,IF(Request!N10="5 months",5,IF(Request!N10="6 months",6,IF(Request!N10="7 months",7,IF(Request!N10="8 months",8,IF(Request!N10="9 months",9,IF(Request!N10="10 months",10,IF(Request!N10="11 months",11,IF(Request!N10="12 months",12,0)))))))))))))</f>
        <v>12</v>
      </c>
      <c r="D1" s="10"/>
      <c r="E1" s="10"/>
      <c r="F1" s="10"/>
      <c r="G1" s="10"/>
      <c r="I1" s="22"/>
      <c r="J1" s="23"/>
      <c r="K1" s="23"/>
      <c r="L1" s="23"/>
      <c r="M1" s="23"/>
      <c r="N1" s="23"/>
      <c r="O1" s="23"/>
    </row>
    <row r="2" spans="1:15" x14ac:dyDescent="0.15">
      <c r="A2" s="6" t="s">
        <v>1</v>
      </c>
      <c r="B2" s="5">
        <f>Request!C9</f>
        <v>43282</v>
      </c>
      <c r="C2" s="5">
        <f>B2</f>
        <v>43282</v>
      </c>
      <c r="D2" s="5" t="str">
        <f>IF(C3&lt;B3,DATE(YEAR(C3),MONTH(C3),DAY(C3)+1),"")</f>
        <v/>
      </c>
      <c r="E2" s="5" t="str">
        <f>IF($D$3&lt;$B$3,DATE(YEAR(D3),MONTH(D3),DAY(D3)+1),"")</f>
        <v/>
      </c>
      <c r="F2" s="5" t="str">
        <f>IF(AND($D$3&lt;$B$3,$E3&lt;$B$3),DATE(YEAR(E3),MONTH(E3),DAY(E3)+1),"")</f>
        <v/>
      </c>
      <c r="G2" s="5" t="str">
        <f>IF(AND($D$3&lt;$B$3,$E3&lt;$B$3,F3&lt;B3),DATE(YEAR(F3),MONTH(F3),DAY(F3)+1),"")</f>
        <v/>
      </c>
      <c r="I2" s="22"/>
      <c r="J2" s="23"/>
      <c r="K2" s="24"/>
      <c r="L2" s="23"/>
      <c r="M2" s="23"/>
      <c r="N2" s="23"/>
      <c r="O2" s="23"/>
    </row>
    <row r="3" spans="1:15" x14ac:dyDescent="0.15">
      <c r="A3" s="6" t="s">
        <v>2</v>
      </c>
      <c r="B3" s="5">
        <f>Request!C10</f>
        <v>43646</v>
      </c>
      <c r="C3" s="5">
        <f>IF(B5&lt;C1,B3,(DATE(YEAR(C2),MONTH(C2)+C1,DAY(C2)-1)))</f>
        <v>43646</v>
      </c>
      <c r="D3" s="5" t="str">
        <f>IF(C3=B3,"",IF((DATE(YEAR(D2)+1,MONTH(D2),DAY(D2)-1))&gt;$B$3,$B$3,(DATE(YEAR(D2)+1,MONTH(D2),DAY(D2)-1))))</f>
        <v/>
      </c>
      <c r="E3" s="5" t="str">
        <f>IF(C3=B3,"",IF(D3=B3,"",IF((DATE(YEAR(E2)+1,MONTH(E2),DAY(E2)-1))&gt;$B$3,$B$3,(DATE(YEAR(E2)+1,MONTH(E2),DAY(E2)-1)))))</f>
        <v/>
      </c>
      <c r="F3" s="5" t="str">
        <f>IF($B$3=$C$3,"",IF($D$3=$B$3,"",IF($E$3=$B$3,"",IF((DATE(YEAR(F2)+1,MONTH(F2),DAY(F2)-1))&gt;$B$3,$B$3,(DATE(YEAR(F2)+1,MONTH(F2),DAY(F2)-1))))))</f>
        <v/>
      </c>
      <c r="G3" s="5" t="str">
        <f>IF($B$3=$C$3,"",IF($D$3=$B$3,"",IF($E$3=$B$3,"",IF($F3=B3,"",IF((DATE(YEAR(G2)+1,MONTH(G2),DAY(G2)-1))&gt;$B$3,$B$3,(DATE(YEAR(G2)+1,MONTH(G2),DAY(G2)-1)))))))</f>
        <v/>
      </c>
      <c r="H3" s="18"/>
      <c r="I3" s="22"/>
      <c r="J3" s="23"/>
      <c r="K3" s="23"/>
      <c r="L3" s="23"/>
      <c r="M3" s="23"/>
      <c r="N3" s="23"/>
      <c r="O3" s="23"/>
    </row>
    <row r="4" spans="1:15" x14ac:dyDescent="0.15">
      <c r="A4" s="6" t="s">
        <v>22</v>
      </c>
      <c r="B4" s="6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18/19</v>
      </c>
      <c r="C4" s="6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18/19</v>
      </c>
      <c r="D4" s="6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/>
      </c>
      <c r="E4" s="6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/>
      </c>
      <c r="F4" s="6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/>
      </c>
      <c r="G4" s="6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/>
      </c>
      <c r="H4" s="84"/>
      <c r="I4" s="22"/>
      <c r="J4" s="23"/>
      <c r="K4" s="23"/>
      <c r="L4" s="23"/>
      <c r="M4" s="23"/>
      <c r="N4" s="23"/>
      <c r="O4" s="23"/>
    </row>
    <row r="5" spans="1:15" x14ac:dyDescent="0.15">
      <c r="A5" s="6" t="s">
        <v>25</v>
      </c>
      <c r="B5" s="7">
        <f>ROUND(YEARFRAC(B2,(DATE(YEAR(B3),MONTH(B3),DAY(B3)+1)),0)*12,1)</f>
        <v>12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0</v>
      </c>
      <c r="E5" s="16">
        <f>IF(E4="",0,ROUND(YEARFRAC(E2,(DATE(YEAR(E3),MONTH(E3),DAY(E3)+1)),0)*12,1))</f>
        <v>0</v>
      </c>
      <c r="F5" s="16">
        <f>IF(F4="",0,ROUND(YEARFRAC(F2,(DATE(YEAR(F3),MONTH(F3),DAY(F3)+1)),0)*12,1))</f>
        <v>0</v>
      </c>
      <c r="G5" s="16">
        <f>IF(G4="",0,ROUND(YEARFRAC(G2,(DATE(YEAR(G3),MONTH(G3),DAY(G3)+1)),0)*12,1))</f>
        <v>0</v>
      </c>
      <c r="I5" s="22"/>
      <c r="J5" s="23"/>
      <c r="K5" s="23"/>
      <c r="L5" s="23"/>
      <c r="M5" s="23"/>
      <c r="N5" s="23"/>
      <c r="O5" s="23"/>
    </row>
    <row r="6" spans="1:15" x14ac:dyDescent="0.15">
      <c r="A6" s="6" t="s">
        <v>26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12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2"/>
      <c r="I6" s="22"/>
      <c r="J6" s="23"/>
      <c r="K6" s="23"/>
      <c r="L6" s="23"/>
      <c r="M6" s="23"/>
      <c r="N6" s="23"/>
      <c r="O6" s="23"/>
    </row>
    <row r="7" spans="1:15" x14ac:dyDescent="0.15">
      <c r="A7" s="6" t="s">
        <v>27</v>
      </c>
      <c r="B7" s="8"/>
      <c r="C7" s="8">
        <f>IF(ROUND(C5-C6,2)&lt;0,0,ROUND(C5-C6,2))</f>
        <v>0</v>
      </c>
      <c r="D7" s="8">
        <f>IF(ROUND(D5-D6,2)&lt;0,0,ROUND(D5-D6,2))</f>
        <v>0</v>
      </c>
      <c r="E7" s="8">
        <f>IF(ROUND(E5-E6,2)&lt;0,0,ROUND(E5-E6,2))</f>
        <v>0</v>
      </c>
      <c r="F7" s="8">
        <f>IF(ROUND(F5-F6,2)&lt;0,0,ROUND(F5-F6,2))</f>
        <v>0</v>
      </c>
      <c r="G7" s="8">
        <f>IF(ROUND(G5-G6,2)&lt;0,0,ROUND(G5-G6,2))</f>
        <v>0</v>
      </c>
      <c r="H7" s="84"/>
      <c r="I7" s="22"/>
      <c r="J7" s="23"/>
      <c r="K7" s="23"/>
      <c r="L7" s="23"/>
      <c r="M7" s="23"/>
      <c r="N7" s="23"/>
      <c r="O7" s="23"/>
    </row>
    <row r="8" spans="1:15" x14ac:dyDescent="0.15">
      <c r="A8" s="6" t="s">
        <v>47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7/01/2019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/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/>
      </c>
      <c r="F8" s="5" t="str">
        <f t="shared" si="1"/>
        <v/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/>
      </c>
      <c r="H8" s="12"/>
      <c r="I8" s="22"/>
      <c r="J8" s="23"/>
      <c r="K8" s="23"/>
      <c r="L8" s="23"/>
      <c r="M8" s="22"/>
      <c r="N8" s="25"/>
      <c r="O8" s="23"/>
    </row>
    <row r="9" spans="1:15" x14ac:dyDescent="0.15">
      <c r="A9" s="6" t="s">
        <v>49</v>
      </c>
      <c r="B9" s="5"/>
      <c r="C9" s="14">
        <f>IF(C5&lt;C6,C5,IF(C5=C6,C5,IF(C5&gt;C6,C6)))</f>
        <v>12</v>
      </c>
      <c r="D9" s="14">
        <f t="shared" ref="D9:E9" si="2">IF(D5&lt;D6,D5,IF(D5=D6,D5,IF(D5&gt;D6,D6)))</f>
        <v>0</v>
      </c>
      <c r="E9" s="14">
        <f t="shared" si="2"/>
        <v>0</v>
      </c>
      <c r="F9" s="14">
        <f>IF(F5&lt;F6,F5,IF(F5=F6,F5,IF(F5&gt;F6,F6)))</f>
        <v>0</v>
      </c>
      <c r="G9" s="14">
        <f>IF(G5&lt;G6,G5,IF(G5=G6,G5,IF(G5&gt;G6,G6)))</f>
        <v>0</v>
      </c>
      <c r="H9" s="12"/>
      <c r="I9" s="22"/>
      <c r="J9" s="23"/>
      <c r="K9" s="23"/>
      <c r="L9" s="23"/>
      <c r="M9" s="23"/>
      <c r="N9" s="23"/>
      <c r="O9" s="23"/>
    </row>
    <row r="10" spans="1:15" x14ac:dyDescent="0.15">
      <c r="A10" s="6" t="s">
        <v>48</v>
      </c>
      <c r="B10" s="5"/>
      <c r="C10" s="7">
        <f>ROUND(C5-C9,2)</f>
        <v>0</v>
      </c>
      <c r="D10" s="7">
        <f>IF(D4="",0,ROUND(D5-D9,2))</f>
        <v>0</v>
      </c>
      <c r="E10" s="7">
        <f>IF(E4="",0,ROUND(E5-E9,2))</f>
        <v>0</v>
      </c>
      <c r="F10" s="7">
        <f>IF(F4="",0,ROUND(F5-F9,2))</f>
        <v>0</v>
      </c>
      <c r="G10" s="7">
        <f>IF(G4="",0,ROUND(G5-G9,2))</f>
        <v>0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15">
      <c r="A11" s="6" t="s">
        <v>52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3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</v>
      </c>
      <c r="F11" s="21">
        <f t="shared" si="3"/>
        <v>0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15">
      <c r="A12" s="6" t="s">
        <v>53</v>
      </c>
      <c r="B12" s="5"/>
      <c r="C12" s="7">
        <f>3-C11</f>
        <v>0</v>
      </c>
      <c r="D12" s="7">
        <f>IF(D4="",0,3-D11)</f>
        <v>0</v>
      </c>
      <c r="E12" s="7">
        <f>IF(E4="",0,3-E11)</f>
        <v>0</v>
      </c>
      <c r="F12" s="7">
        <f>IF(F4="",0,3-F11)</f>
        <v>0</v>
      </c>
      <c r="G12" s="7">
        <f>IF(G4="",0,3-G11)</f>
        <v>0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15">
      <c r="A13" s="71" t="s">
        <v>54</v>
      </c>
      <c r="B13" s="72"/>
      <c r="C13" s="73">
        <f>IF(C9&gt;=C11,C11,C9)</f>
        <v>3</v>
      </c>
      <c r="D13" s="73">
        <f>IF(D4="",0,IF(D9&gt;=D11,D11,D9))</f>
        <v>0</v>
      </c>
      <c r="E13" s="73">
        <f t="shared" ref="E13:G13" si="4">IF(E9&gt;=E11,E11,E9)</f>
        <v>0</v>
      </c>
      <c r="F13" s="73">
        <f t="shared" si="4"/>
        <v>0</v>
      </c>
      <c r="G13" s="73">
        <f t="shared" si="4"/>
        <v>0</v>
      </c>
      <c r="H13" s="12"/>
    </row>
    <row r="14" spans="1:15" x14ac:dyDescent="0.15">
      <c r="A14" s="71" t="s">
        <v>55</v>
      </c>
      <c r="B14" s="72"/>
      <c r="C14" s="73">
        <f>IF(C10&gt;=C12,C12,C10)</f>
        <v>0</v>
      </c>
      <c r="D14" s="73">
        <f t="shared" ref="D14:G14" si="5">IF(D10&gt;=D12,D12,D10)</f>
        <v>0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12"/>
    </row>
    <row r="15" spans="1:15" x14ac:dyDescent="0.15">
      <c r="A15" s="6" t="s">
        <v>57</v>
      </c>
      <c r="B15" s="5">
        <f ca="1">IF(Request!R9="",TODAY(),Request!R9)</f>
        <v>43830</v>
      </c>
      <c r="H15" s="12"/>
    </row>
    <row r="16" spans="1:15" x14ac:dyDescent="0.15">
      <c r="A16" s="6" t="s">
        <v>59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19/20</v>
      </c>
      <c r="C16" s="214" t="s">
        <v>178</v>
      </c>
      <c r="D16" s="215"/>
      <c r="E16" s="215"/>
      <c r="F16" s="215"/>
      <c r="G16" s="216"/>
      <c r="H16" s="12"/>
    </row>
    <row r="17" spans="1:8" x14ac:dyDescent="0.15">
      <c r="A17" s="6" t="s">
        <v>60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7/01/2020</v>
      </c>
      <c r="C17" s="28">
        <f>(DATE(YEAR(C2),MONTH(C2)+C6,DAY(C2)-1))</f>
        <v>43646</v>
      </c>
      <c r="D17" s="28" t="str">
        <f>IF(D2="","",(DATE(YEAR(D2),MONTH(D2)+D6,DAY(D2)-1)))</f>
        <v/>
      </c>
      <c r="E17" s="28" t="str">
        <f>IF(E2="","",(DATE(YEAR(E2),MONTH(E2)+E6,DAY(E2)-1)))</f>
        <v/>
      </c>
      <c r="F17" s="28" t="str">
        <f t="shared" ref="F17:G17" si="6">IF(F2="","",(DATE(YEAR(F2),MONTH(F2)+F6,DAY(F2)-1)))</f>
        <v/>
      </c>
      <c r="G17" s="138" t="str">
        <f t="shared" si="6"/>
        <v/>
      </c>
      <c r="H17" s="12"/>
    </row>
    <row r="18" spans="1:8" x14ac:dyDescent="0.15">
      <c r="A18" s="6" t="s">
        <v>58</v>
      </c>
      <c r="B18" s="111">
        <f ca="1">ROUND(IF(B16="","",YEARFRAC(B15,(DATE(YEAR(B17),MONTH(B17),DAY(B17)+1)),1)*12),1)</f>
        <v>6</v>
      </c>
      <c r="C18" s="31">
        <f>(DATE(YEAR(C2),MONTH(C2)+C6,DAY(C2)))</f>
        <v>43647</v>
      </c>
      <c r="D18" s="31" t="str">
        <f>IF(D2="","",(DATE(YEAR(D2),MONTH(D2)+D6,DAY(D2))))</f>
        <v/>
      </c>
      <c r="E18" s="31" t="str">
        <f t="shared" ref="E18:G18" si="7">IF(E2="","",(DATE(YEAR(E2),MONTH(E2)+E6,DAY(E2))))</f>
        <v/>
      </c>
      <c r="F18" s="31" t="str">
        <f t="shared" si="7"/>
        <v/>
      </c>
      <c r="G18" s="139" t="str">
        <f t="shared" si="7"/>
        <v/>
      </c>
      <c r="H18" s="12"/>
    </row>
    <row r="19" spans="1:8" x14ac:dyDescent="0.15">
      <c r="A19" s="6" t="s">
        <v>61</v>
      </c>
      <c r="B19" s="111">
        <f ca="1">ROUND(YEARFRAC(B15,(DATE(YEAR(B2),MONTH(B2),DAY(B2)+1)),1)*12,1)</f>
        <v>18</v>
      </c>
      <c r="C19" s="33">
        <f>C3</f>
        <v>43646</v>
      </c>
      <c r="D19" s="33" t="str">
        <f>D3</f>
        <v/>
      </c>
      <c r="E19" s="33" t="str">
        <f>E3</f>
        <v/>
      </c>
      <c r="F19" s="33" t="str">
        <f>F3</f>
        <v/>
      </c>
      <c r="G19" s="140" t="str">
        <f>G3</f>
        <v/>
      </c>
      <c r="H19" s="12"/>
    </row>
    <row r="20" spans="1:8" x14ac:dyDescent="0.15">
      <c r="A20" s="6" t="s">
        <v>62</v>
      </c>
      <c r="B20" s="7">
        <f ca="1">IF(B18&gt;B19,0,IF(B19&gt;=B18,ROUNDDOWN((B19-B18)/12+1,0)))</f>
        <v>2</v>
      </c>
      <c r="C20" s="33"/>
      <c r="D20" s="34"/>
      <c r="E20" s="34"/>
      <c r="F20" s="34"/>
      <c r="G20" s="35"/>
      <c r="H20" s="12"/>
    </row>
    <row r="21" spans="1:8" x14ac:dyDescent="0.15">
      <c r="A21" s="6" t="s">
        <v>100</v>
      </c>
      <c r="B21" s="105">
        <f ca="1">IF(C22=TRUE,C21,DATE(YEAR(C21)+1,MONTH(C21),DAY(C21)))</f>
        <v>366</v>
      </c>
      <c r="C21" s="28" t="b">
        <f ca="1">IF(B16="14/15",("09/01/2014"),IF(B16="15/16",("09/01/2015"),IF(B16="16/17",("09/01/2016"),IF(B16="17/18",("09/1/2017")))))</f>
        <v>0</v>
      </c>
      <c r="D21" s="29"/>
      <c r="E21" s="29"/>
      <c r="F21" s="29"/>
      <c r="G21" s="30"/>
      <c r="H21" s="12"/>
    </row>
    <row r="22" spans="1:8" x14ac:dyDescent="0.15">
      <c r="A22" s="6" t="s">
        <v>101</v>
      </c>
      <c r="B22" s="7">
        <f ca="1">ROUND(IF(B16="","",YEARFRAC(B15,(DATE(YEAR(B21),MONTH(B21),DAY(B21)+1)),1)*12),1)</f>
        <v>1428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15">
      <c r="A23" s="6" t="s">
        <v>102</v>
      </c>
      <c r="B23" s="7">
        <f ca="1">ROUND(YEARFRAC(B15,(DATE(YEAR(B2),MONTH(B2),DAY(B2)+1)),1)*12,1)</f>
        <v>18</v>
      </c>
      <c r="C23" s="31"/>
      <c r="D23" s="13"/>
      <c r="E23" s="13"/>
      <c r="F23" s="13"/>
      <c r="G23" s="32"/>
      <c r="H23" s="12"/>
    </row>
    <row r="24" spans="1:8" x14ac:dyDescent="0.15">
      <c r="A24" s="6" t="s">
        <v>103</v>
      </c>
      <c r="B24" s="36">
        <f ca="1">IF(AND(B22&gt;=B23,B22&lt;5),0,(IF(AND(B22&gt;=B23,B22&gt;=5),1,(IF(AND(B23&gt;B22,B22&gt;=5),ROUND((B23-B22)/12+1,0),((ROUND((B23-B22)/12,0))))))))</f>
        <v>1</v>
      </c>
      <c r="C24" s="33"/>
      <c r="D24" s="34"/>
      <c r="E24" s="34"/>
      <c r="F24" s="34"/>
      <c r="G24" s="35"/>
      <c r="H24" s="12"/>
    </row>
    <row r="25" spans="1:8" x14ac:dyDescent="0.15">
      <c r="A25" s="6" t="s">
        <v>114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9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0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0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0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0</v>
      </c>
      <c r="H25" s="12"/>
    </row>
    <row r="26" spans="1:8" x14ac:dyDescent="0.15">
      <c r="A26" s="6" t="s">
        <v>115</v>
      </c>
      <c r="B26" s="7"/>
      <c r="C26" s="14">
        <f>9-C25</f>
        <v>0</v>
      </c>
      <c r="D26" s="14">
        <f>IF(D4="",0,9-D25)</f>
        <v>0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15">
      <c r="A27" s="6" t="s">
        <v>116</v>
      </c>
      <c r="B27" s="7"/>
      <c r="C27" s="7">
        <f>IF(C5&lt;C25,C5,C25)</f>
        <v>9</v>
      </c>
      <c r="D27" s="7">
        <f>IF(D5&lt;D25,D5,D25)</f>
        <v>0</v>
      </c>
      <c r="E27" s="7">
        <f t="shared" ref="E27:G27" si="8">IF(E5&lt;E25,E5,E25)</f>
        <v>0</v>
      </c>
      <c r="F27" s="7">
        <f t="shared" si="8"/>
        <v>0</v>
      </c>
      <c r="G27" s="7">
        <f t="shared" si="8"/>
        <v>0</v>
      </c>
      <c r="H27" s="12"/>
    </row>
    <row r="28" spans="1:8" x14ac:dyDescent="0.15">
      <c r="A28" s="6" t="s">
        <v>117</v>
      </c>
      <c r="B28" s="5"/>
      <c r="C28" s="7">
        <f>IF(C5&lt;C25,0,IF(C5&lt;C25+C26,C5-C25,C26))</f>
        <v>0</v>
      </c>
      <c r="D28" s="7">
        <f>IF(D4="",0,IF(D5&lt;D25,0,IF(D5&lt;D25+D26,D5-D25,D26)))</f>
        <v>0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15">
      <c r="A29" s="6" t="s">
        <v>157</v>
      </c>
      <c r="B29" s="5"/>
      <c r="C29" s="7">
        <f>C27+C28</f>
        <v>9</v>
      </c>
      <c r="D29" s="7">
        <f t="shared" ref="D29:G29" si="9">D27+D28</f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12"/>
    </row>
    <row r="30" spans="1:8" x14ac:dyDescent="0.15">
      <c r="A30" s="6" t="s">
        <v>158</v>
      </c>
      <c r="B30" s="5"/>
      <c r="C30" s="7">
        <f>IF(C29=0,0,IF(C29&lt;4,1,IF(C29&lt;7,2,3)))</f>
        <v>3</v>
      </c>
      <c r="D30" s="7">
        <f t="shared" ref="D30:F30" si="10">IF(D29=0,0,IF(D29&lt;4,1,IF(D29&lt;7,2,3)))</f>
        <v>0</v>
      </c>
      <c r="E30" s="7">
        <f t="shared" si="10"/>
        <v>0</v>
      </c>
      <c r="F30" s="7">
        <f t="shared" si="10"/>
        <v>0</v>
      </c>
      <c r="G30" s="7">
        <f>IF(G29=0,0,IF(G29&lt;4,1,IF(G29&lt;7,2,3)))</f>
        <v>0</v>
      </c>
      <c r="H30" s="12"/>
    </row>
    <row r="31" spans="1:8" x14ac:dyDescent="0.15">
      <c r="A31" s="3"/>
      <c r="B31" s="13"/>
      <c r="C31" s="27"/>
      <c r="D31" s="27"/>
      <c r="E31" s="27"/>
      <c r="F31" s="27"/>
      <c r="G31" s="27"/>
      <c r="H31" s="12"/>
    </row>
    <row r="32" spans="1:8" x14ac:dyDescent="0.15">
      <c r="A32" s="3"/>
      <c r="B32" s="13"/>
      <c r="C32" s="27"/>
      <c r="D32" s="27"/>
      <c r="E32" s="27"/>
      <c r="F32" s="27"/>
      <c r="G32" s="27"/>
      <c r="H32" s="12"/>
    </row>
    <row r="33" spans="1:12" x14ac:dyDescent="0.15">
      <c r="A33" s="2" t="s">
        <v>3</v>
      </c>
    </row>
    <row r="34" spans="1:12" x14ac:dyDescent="0.15">
      <c r="A34" s="9" t="s">
        <v>28</v>
      </c>
      <c r="B34" s="10" t="s">
        <v>33</v>
      </c>
      <c r="C34" s="10" t="s">
        <v>34</v>
      </c>
      <c r="D34" s="10" t="s">
        <v>43</v>
      </c>
      <c r="E34" s="10" t="s">
        <v>35</v>
      </c>
      <c r="F34" s="10" t="s">
        <v>36</v>
      </c>
      <c r="G34" s="10" t="s">
        <v>37</v>
      </c>
      <c r="H34" s="10" t="s">
        <v>38</v>
      </c>
      <c r="I34" s="10" t="s">
        <v>39</v>
      </c>
      <c r="J34" s="10" t="s">
        <v>40</v>
      </c>
      <c r="K34" s="10" t="s">
        <v>41</v>
      </c>
      <c r="L34" s="10" t="s">
        <v>42</v>
      </c>
    </row>
    <row r="35" spans="1:12" x14ac:dyDescent="0.15">
      <c r="A35" s="4" t="s">
        <v>14</v>
      </c>
      <c r="B35" s="4">
        <v>0.20799999999999999</v>
      </c>
      <c r="C35" s="4">
        <v>0.192</v>
      </c>
      <c r="D35" s="4">
        <v>0.19500000000000001</v>
      </c>
      <c r="E35" s="4" t="e">
        <f>IF(Request!#REF!="yes",ROUND(D35*1.03,3),$D35)</f>
        <v>#REF!</v>
      </c>
      <c r="F35" s="4" t="e">
        <f>IF(Request!#REF!="yes",ROUND(E35*1.03,3),$D35)</f>
        <v>#REF!</v>
      </c>
      <c r="G35" s="4" t="e">
        <f>IF(Request!#REF!="yes",ROUND(F35*1.03,3),$D35)</f>
        <v>#REF!</v>
      </c>
      <c r="H35" s="4" t="e">
        <f>IF(Request!#REF!="yes",ROUND(G35*1.03,3),$D35)</f>
        <v>#REF!</v>
      </c>
      <c r="I35" s="4" t="e">
        <f>IF(Request!#REF!="yes",ROUND(H35*1.03,3),$D35)</f>
        <v>#REF!</v>
      </c>
      <c r="J35" s="4" t="e">
        <f>IF(Request!#REF!="yes",ROUND(I35*1.03,3),$D35)</f>
        <v>#REF!</v>
      </c>
      <c r="K35" s="4" t="e">
        <f>IF(Request!#REF!="yes",ROUND(J35*1.03,3),$D35)</f>
        <v>#REF!</v>
      </c>
      <c r="L35" s="195" t="e">
        <f>IF(Request!#REF!="yes",ROUND(K35*1.03,3),$D35)</f>
        <v>#REF!</v>
      </c>
    </row>
    <row r="36" spans="1:12" x14ac:dyDescent="0.15">
      <c r="A36" s="4" t="s">
        <v>15</v>
      </c>
      <c r="B36" s="4">
        <v>0.317</v>
      </c>
      <c r="C36" s="4">
        <v>0.31900000000000001</v>
      </c>
      <c r="D36" s="4">
        <v>0.309</v>
      </c>
      <c r="E36" s="4" t="e">
        <f>IF(Request!#REF!="yes",ROUND(D36*1.03,3),$D36)</f>
        <v>#REF!</v>
      </c>
      <c r="F36" s="4" t="e">
        <f>IF(Request!#REF!="yes",ROUND(E36*1.03,3),$D36)</f>
        <v>#REF!</v>
      </c>
      <c r="G36" s="4" t="e">
        <f>IF(Request!#REF!="yes",ROUND(F36*1.03,3),$D36)</f>
        <v>#REF!</v>
      </c>
      <c r="H36" s="4" t="e">
        <f>IF(Request!#REF!="yes",ROUND(G36*1.03,3),$D36)</f>
        <v>#REF!</v>
      </c>
      <c r="I36" s="4" t="e">
        <f>IF(Request!#REF!="yes",ROUND(H36*1.03,3),$D36)</f>
        <v>#REF!</v>
      </c>
      <c r="J36" s="4" t="e">
        <f>IF(Request!#REF!="yes",ROUND(I36*1.03,3),$D36)</f>
        <v>#REF!</v>
      </c>
      <c r="K36" s="4" t="e">
        <f>IF(Request!#REF!="yes",ROUND(J36*1.03,3),$D36)</f>
        <v>#REF!</v>
      </c>
      <c r="L36" s="195" t="e">
        <f>IF(Request!#REF!="yes",ROUND(K36*1.03,3),$D36)</f>
        <v>#REF!</v>
      </c>
    </row>
    <row r="37" spans="1:12" x14ac:dyDescent="0.15">
      <c r="A37" s="4" t="s">
        <v>29</v>
      </c>
      <c r="B37" s="4">
        <v>0.38300000000000001</v>
      </c>
      <c r="C37" s="4">
        <v>0.379</v>
      </c>
      <c r="D37" s="4">
        <v>0.38100000000000001</v>
      </c>
      <c r="E37" s="4" t="e">
        <f>IF(Request!#REF!="yes",ROUND(D37*1.03,3),$D37)</f>
        <v>#REF!</v>
      </c>
      <c r="F37" s="4" t="e">
        <f>IF(Request!#REF!="yes",ROUND(E37*1.03,3),$D37)</f>
        <v>#REF!</v>
      </c>
      <c r="G37" s="4" t="e">
        <f>IF(Request!#REF!="yes",ROUND(F37*1.03,3),$D37)</f>
        <v>#REF!</v>
      </c>
      <c r="H37" s="4" t="e">
        <f>IF(Request!#REF!="yes",ROUND(G37*1.03,3),$D37)</f>
        <v>#REF!</v>
      </c>
      <c r="I37" s="4" t="e">
        <f>IF(Request!#REF!="yes",ROUND(H37*1.03,3),$D37)</f>
        <v>#REF!</v>
      </c>
      <c r="J37" s="4" t="e">
        <f>IF(Request!#REF!="yes",ROUND(I37*1.03,3),$D37)</f>
        <v>#REF!</v>
      </c>
      <c r="K37" s="4" t="e">
        <f>IF(Request!#REF!="yes",ROUND(J37*1.03,3),$D37)</f>
        <v>#REF!</v>
      </c>
      <c r="L37" s="195" t="e">
        <f>IF(Request!#REF!="yes",ROUND(K37*1.03,3),$D37)</f>
        <v>#REF!</v>
      </c>
    </row>
    <row r="38" spans="1:12" x14ac:dyDescent="0.15">
      <c r="A38" s="4" t="s">
        <v>19</v>
      </c>
      <c r="B38" s="4">
        <v>0.504</v>
      </c>
      <c r="C38" s="4">
        <v>0.51400000000000001</v>
      </c>
      <c r="D38" s="4">
        <v>0.51300000000000001</v>
      </c>
      <c r="E38" s="4" t="e">
        <f>IF(Request!#REF!="yes",ROUND(D38*1.03,3),$D38)</f>
        <v>#REF!</v>
      </c>
      <c r="F38" s="4" t="e">
        <f>IF(Request!#REF!="yes",ROUND(E38*1.03,3),$D38)</f>
        <v>#REF!</v>
      </c>
      <c r="G38" s="4" t="e">
        <f>IF(Request!#REF!="yes",ROUND(F38*1.03,3),$D38)</f>
        <v>#REF!</v>
      </c>
      <c r="H38" s="4" t="e">
        <f>IF(Request!#REF!="yes",ROUND(G38*1.03,3),$D38)</f>
        <v>#REF!</v>
      </c>
      <c r="I38" s="4" t="e">
        <f>IF(Request!#REF!="yes",ROUND(H38*1.03,3),$D38)</f>
        <v>#REF!</v>
      </c>
      <c r="J38" s="4" t="e">
        <f>IF(Request!#REF!="yes",ROUND(I38*1.03,3),$D38)</f>
        <v>#REF!</v>
      </c>
      <c r="K38" s="4" t="e">
        <f>IF(Request!#REF!="yes",ROUND(J38*1.03,3),$D38)</f>
        <v>#REF!</v>
      </c>
      <c r="L38" s="195" t="e">
        <f>IF(Request!#REF!="yes",ROUND(K38*1.03,3),$D38)</f>
        <v>#REF!</v>
      </c>
    </row>
    <row r="39" spans="1:12" x14ac:dyDescent="0.15">
      <c r="A39" s="4" t="s">
        <v>30</v>
      </c>
      <c r="B39" s="4">
        <v>0.66400000000000003</v>
      </c>
      <c r="C39" s="4">
        <v>0.66300000000000003</v>
      </c>
      <c r="D39" s="4">
        <v>0.622</v>
      </c>
      <c r="E39" s="4" t="e">
        <f>IF(Request!#REF!="yes",ROUND(D39*1.03,3),$D39)</f>
        <v>#REF!</v>
      </c>
      <c r="F39" s="4" t="e">
        <f>IF(Request!#REF!="yes",ROUND(E39*1.03,3),$D39)</f>
        <v>#REF!</v>
      </c>
      <c r="G39" s="4" t="e">
        <f>IF(Request!#REF!="yes",ROUND(F39*1.03,3),$D39)</f>
        <v>#REF!</v>
      </c>
      <c r="H39" s="4" t="e">
        <f>IF(Request!#REF!="yes",ROUND(G39*1.03,3),$D39)</f>
        <v>#REF!</v>
      </c>
      <c r="I39" s="4" t="e">
        <f>IF(Request!#REF!="yes",ROUND(H39*1.03,3),$D39)</f>
        <v>#REF!</v>
      </c>
      <c r="J39" s="4" t="e">
        <f>IF(Request!#REF!="yes",ROUND(I39*1.03,3),$D39)</f>
        <v>#REF!</v>
      </c>
      <c r="K39" s="4" t="e">
        <f>IF(Request!#REF!="yes",ROUND(J39*1.03,3),$D39)</f>
        <v>#REF!</v>
      </c>
      <c r="L39" s="195" t="e">
        <f>IF(Request!#REF!="yes",ROUND(K39*1.03,3),$D39)</f>
        <v>#REF!</v>
      </c>
    </row>
    <row r="40" spans="1:12" x14ac:dyDescent="0.15">
      <c r="A40" s="4" t="s">
        <v>18</v>
      </c>
      <c r="B40" s="4">
        <v>0.16</v>
      </c>
      <c r="C40" s="4">
        <v>0.17100000000000001</v>
      </c>
      <c r="D40" s="4">
        <v>0.17299999999999999</v>
      </c>
      <c r="E40" s="4" t="e">
        <f>IF(Request!#REF!="yes",ROUND(D40*1.03,3),$D40)</f>
        <v>#REF!</v>
      </c>
      <c r="F40" s="4" t="e">
        <f>IF(Request!#REF!="yes",ROUND(E40*1.03,3),$D40)</f>
        <v>#REF!</v>
      </c>
      <c r="G40" s="4" t="e">
        <f>IF(Request!#REF!="yes",ROUND(F40*1.03,3),$D40)</f>
        <v>#REF!</v>
      </c>
      <c r="H40" s="4" t="e">
        <f>IF(Request!#REF!="yes",ROUND(G40*1.03,3),$D40)</f>
        <v>#REF!</v>
      </c>
      <c r="I40" s="4" t="e">
        <f>IF(Request!#REF!="yes",ROUND(H40*1.03,3),$D40)</f>
        <v>#REF!</v>
      </c>
      <c r="J40" s="4" t="e">
        <f>IF(Request!#REF!="yes",ROUND(I40*1.03,3),$D40)</f>
        <v>#REF!</v>
      </c>
      <c r="K40" s="4" t="e">
        <f>IF(Request!#REF!="yes",ROUND(J40*1.03,3),$D40)</f>
        <v>#REF!</v>
      </c>
      <c r="L40" s="195" t="e">
        <f>IF(Request!#REF!="yes",ROUND(K40*1.03,3),$D40)</f>
        <v>#REF!</v>
      </c>
    </row>
    <row r="41" spans="1:12" x14ac:dyDescent="0.15">
      <c r="A41" s="4" t="s">
        <v>31</v>
      </c>
      <c r="B41" s="4">
        <v>1.2999999999999999E-2</v>
      </c>
      <c r="C41" s="4">
        <v>1.2999999999999999E-2</v>
      </c>
      <c r="D41" s="4">
        <v>1.2999999999999999E-2</v>
      </c>
      <c r="E41" s="4" t="e">
        <f>IF(Request!#REF!="yes",ROUND(D41*1.03,3),$D41)</f>
        <v>#REF!</v>
      </c>
      <c r="F41" s="4" t="e">
        <f>IF(Request!#REF!="yes",ROUND(E41*1.03,3),$D41)</f>
        <v>#REF!</v>
      </c>
      <c r="G41" s="4" t="e">
        <f>IF(Request!#REF!="yes",ROUND(F41*1.03,3),$D41)</f>
        <v>#REF!</v>
      </c>
      <c r="H41" s="4" t="e">
        <f>IF(Request!#REF!="yes",ROUND(G41*1.03,3),$D41)</f>
        <v>#REF!</v>
      </c>
      <c r="I41" s="4" t="e">
        <f>IF(Request!#REF!="yes",ROUND(H41*1.03,3),$D41)</f>
        <v>#REF!</v>
      </c>
      <c r="J41" s="4" t="e">
        <f>IF(Request!#REF!="yes",ROUND(I41*1.03,3),$D41)</f>
        <v>#REF!</v>
      </c>
      <c r="K41" s="4" t="e">
        <f>IF(Request!#REF!="yes",ROUND(J41*1.03,3),$D41)</f>
        <v>#REF!</v>
      </c>
      <c r="L41" s="195" t="e">
        <f>IF(Request!#REF!="yes",ROUND(K41*1.03,3),$D41)</f>
        <v>#REF!</v>
      </c>
    </row>
    <row r="42" spans="1:12" x14ac:dyDescent="0.15">
      <c r="A42" s="4" t="s">
        <v>32</v>
      </c>
      <c r="B42" s="4">
        <v>0.104</v>
      </c>
      <c r="C42" s="4">
        <v>0.106</v>
      </c>
      <c r="D42" s="4">
        <v>9.0999999999999998E-2</v>
      </c>
      <c r="E42" s="4" t="e">
        <f>IF(Request!#REF!="yes",ROUND(D42*1.03,3),$D42)</f>
        <v>#REF!</v>
      </c>
      <c r="F42" s="4" t="e">
        <f>IF(Request!#REF!="yes",ROUND(E42*1.03,3),$D42)</f>
        <v>#REF!</v>
      </c>
      <c r="G42" s="4" t="e">
        <f>IF(Request!#REF!="yes",ROUND(F42*1.03,3),$D42)</f>
        <v>#REF!</v>
      </c>
      <c r="H42" s="4" t="e">
        <f>IF(Request!#REF!="yes",ROUND(G42*1.03,3),$D42)</f>
        <v>#REF!</v>
      </c>
      <c r="I42" s="4" t="e">
        <f>IF(Request!#REF!="yes",ROUND(H42*1.03,3),$D42)</f>
        <v>#REF!</v>
      </c>
      <c r="J42" s="4" t="e">
        <f>IF(Request!#REF!="yes",ROUND(I42*1.03,3),$D42)</f>
        <v>#REF!</v>
      </c>
      <c r="K42" s="4" t="e">
        <f>IF(Request!#REF!="yes",ROUND(J42*1.03,3),$D42)</f>
        <v>#REF!</v>
      </c>
      <c r="L42" s="195" t="e">
        <f>IF(Request!#REF!="yes",ROUND(K42*1.03,3),$D42)</f>
        <v>#REF!</v>
      </c>
    </row>
    <row r="43" spans="1:12" x14ac:dyDescent="0.15">
      <c r="A43" s="4" t="s">
        <v>21</v>
      </c>
      <c r="B43" s="4">
        <v>3.1E-2</v>
      </c>
      <c r="C43" s="4">
        <v>3.3000000000000002E-2</v>
      </c>
      <c r="D43" s="4">
        <v>3.5999999999999997E-2</v>
      </c>
      <c r="E43" s="4" t="e">
        <f>IF(Request!#REF!="yes",ROUND(D43*1.03,3),$D43)</f>
        <v>#REF!</v>
      </c>
      <c r="F43" s="4" t="e">
        <f>IF(Request!#REF!="yes",ROUND(E43*1.03,3),$D43)</f>
        <v>#REF!</v>
      </c>
      <c r="G43" s="4" t="e">
        <f>IF(Request!#REF!="yes",ROUND(F43*1.03,3),$D43)</f>
        <v>#REF!</v>
      </c>
      <c r="H43" s="4" t="e">
        <f>IF(Request!#REF!="yes",ROUND(G43*1.03,3),$D43)</f>
        <v>#REF!</v>
      </c>
      <c r="I43" s="4" t="e">
        <f>IF(Request!#REF!="yes",ROUND(H43*1.03,3),$D43)</f>
        <v>#REF!</v>
      </c>
      <c r="J43" s="4" t="e">
        <f>IF(Request!#REF!="yes",ROUND(I43*1.03,3),$D43)</f>
        <v>#REF!</v>
      </c>
      <c r="K43" s="4" t="e">
        <f>IF(Request!#REF!="yes",ROUND(J43*1.03,3),$D43)</f>
        <v>#REF!</v>
      </c>
      <c r="L43" s="195" t="e">
        <f>IF(Request!#REF!="yes",ROUND(K43*1.03,3),$D43)</f>
        <v>#REF!</v>
      </c>
    </row>
    <row r="45" spans="1:12" x14ac:dyDescent="0.15">
      <c r="B45" s="237" t="s">
        <v>8</v>
      </c>
      <c r="C45" s="238"/>
      <c r="D45" s="237" t="s">
        <v>9</v>
      </c>
      <c r="E45" s="238"/>
      <c r="F45" s="237" t="s">
        <v>10</v>
      </c>
      <c r="G45" s="238"/>
      <c r="H45" s="237" t="s">
        <v>23</v>
      </c>
      <c r="I45" s="238"/>
      <c r="J45" s="237" t="s">
        <v>11</v>
      </c>
      <c r="K45" s="238"/>
    </row>
    <row r="46" spans="1:12" x14ac:dyDescent="0.15">
      <c r="A46" s="9" t="s">
        <v>44</v>
      </c>
      <c r="B46" s="11" t="s">
        <v>45</v>
      </c>
      <c r="C46" s="11" t="s">
        <v>46</v>
      </c>
      <c r="D46" s="11" t="s">
        <v>45</v>
      </c>
      <c r="E46" s="11" t="s">
        <v>46</v>
      </c>
      <c r="F46" s="11" t="s">
        <v>45</v>
      </c>
      <c r="G46" s="11" t="s">
        <v>46</v>
      </c>
      <c r="H46" s="11" t="s">
        <v>45</v>
      </c>
      <c r="I46" s="11" t="s">
        <v>46</v>
      </c>
      <c r="J46" s="11" t="s">
        <v>45</v>
      </c>
      <c r="K46" s="11" t="s">
        <v>46</v>
      </c>
    </row>
    <row r="47" spans="1:12" x14ac:dyDescent="0.15">
      <c r="A47" s="4" t="s">
        <v>14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>
        <f>IF($D$4="",0,IF($D$4=$C$34,C35,IF($D$4=$D$34,D35,IF($D$4=$E$34,E35,IF($D$4=F34,$F$35,IF($D$4=G34,$G$35,IF($D$4=H34,$H$35)))))))</f>
        <v>0</v>
      </c>
      <c r="E47" s="4">
        <f>IF($D$4="",0,IF($D$7=0,D47,IF($D$4=$B$34,C35,IF($D$4=$C$34,D35,IF($D$4=$D$34,E35,IF($D$4=$E$34,F35,IF($D$4=$F$34,G35,IF($D$4=$G$34,H35,IF($D$4=$H$34,I35,IF($D$4=$I$34,J35))))))))))</f>
        <v>0</v>
      </c>
      <c r="F47" s="4">
        <f t="shared" ref="F47:F55" si="11">IF($E$4="",0,IF($E$4=$D$34,D35,IF($E$4=$E$34,E35,IF($E$4=$F$34,F35,IF($E$4=$G$34,G35,IF($E$4=$H$34,H35,IF($E$4=I34,I35,IF($E$4=$J$34,J35))))))))</f>
        <v>0</v>
      </c>
      <c r="G47" s="4">
        <f>IF($E$4="",0,IF($E$7=0,F47,IF($E$4=$B$34,C35,IF($E$4=$C$34,D35,IF($E$4=$D$34,E35,IF($E$4=$E$34,F35,IF($E$4=$F$34,G35,IF($E$4=$G$34,H35,IF($E$4=$H$34,I35,IF($E$4=$I$34,J35))))))))))</f>
        <v>0</v>
      </c>
      <c r="H47" s="4">
        <f t="shared" ref="H47:H55" si="12">IF($F$4="",0,IF($F$4=$D$34,D35,IF($F$4=$E$34,E35,IF($F$4=$F$34,F35,IF($F$4=$G$34,G35,IF($F$4=$H$34,H35,IF($F$4=$I$34,I35,IF($F$4=$J$34,J35,IF($F$4=$K$34,K35,)))))))))</f>
        <v>0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</v>
      </c>
    </row>
    <row r="48" spans="1:12" x14ac:dyDescent="0.15">
      <c r="A48" s="4" t="s">
        <v>15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>
        <f t="shared" ref="D48:D55" si="18">IF($D$4="",0,IF($D$4=$C$34,C36,IF($D$4=$D$34,D36,IF($D$4=$E$34,E36,IF($D$4=$F$34,F36,IF($D$4=$G$34,G36,IF($D$4=$H$34,H36)))))))</f>
        <v>0</v>
      </c>
      <c r="E48" s="4">
        <f t="shared" ref="E48:E55" si="19">IF($D$4="",0,IF($D$7=0,D48,IF($D$4=$B$34,C36,IF($D$4=$C$34,D36,IF($D$4=$D$34,E36,IF($D$4=$E$34,F36,IF($D$4=$F$34,G36,IF($D$4=$G$34,H36,IF($D$4=$H$34,I36,IF($D$4=$I$34,J36))))))))))</f>
        <v>0</v>
      </c>
      <c r="F48" s="4">
        <f t="shared" si="11"/>
        <v>0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</v>
      </c>
      <c r="H48" s="4">
        <f t="shared" si="12"/>
        <v>0</v>
      </c>
      <c r="I48" s="4">
        <f t="shared" si="13"/>
        <v>0</v>
      </c>
      <c r="J48" s="4">
        <f t="shared" si="14"/>
        <v>0</v>
      </c>
      <c r="K48" s="4">
        <f t="shared" si="15"/>
        <v>0</v>
      </c>
    </row>
    <row r="49" spans="1:11" x14ac:dyDescent="0.15">
      <c r="A49" s="4" t="s">
        <v>29</v>
      </c>
      <c r="B49" s="4" t="e">
        <f t="shared" si="16"/>
        <v>#REF!</v>
      </c>
      <c r="C49" s="4" t="e">
        <f t="shared" si="17"/>
        <v>#REF!</v>
      </c>
      <c r="D49" s="4">
        <f t="shared" si="18"/>
        <v>0</v>
      </c>
      <c r="E49" s="4">
        <f t="shared" si="19"/>
        <v>0</v>
      </c>
      <c r="F49" s="4">
        <f t="shared" si="11"/>
        <v>0</v>
      </c>
      <c r="G49" s="4">
        <f t="shared" si="20"/>
        <v>0</v>
      </c>
      <c r="H49" s="4">
        <f t="shared" si="12"/>
        <v>0</v>
      </c>
      <c r="I49" s="4">
        <f t="shared" si="13"/>
        <v>0</v>
      </c>
      <c r="J49" s="4">
        <f t="shared" si="14"/>
        <v>0</v>
      </c>
      <c r="K49" s="4">
        <f t="shared" si="15"/>
        <v>0</v>
      </c>
    </row>
    <row r="50" spans="1:11" x14ac:dyDescent="0.15">
      <c r="A50" s="4" t="s">
        <v>19</v>
      </c>
      <c r="B50" s="4" t="e">
        <f t="shared" si="16"/>
        <v>#REF!</v>
      </c>
      <c r="C50" s="4" t="e">
        <f t="shared" si="17"/>
        <v>#REF!</v>
      </c>
      <c r="D50" s="4">
        <f t="shared" si="18"/>
        <v>0</v>
      </c>
      <c r="E50" s="4">
        <f t="shared" si="19"/>
        <v>0</v>
      </c>
      <c r="F50" s="4">
        <f t="shared" si="11"/>
        <v>0</v>
      </c>
      <c r="G50" s="4">
        <f t="shared" si="20"/>
        <v>0</v>
      </c>
      <c r="H50" s="4">
        <f t="shared" si="12"/>
        <v>0</v>
      </c>
      <c r="I50" s="4">
        <f t="shared" si="13"/>
        <v>0</v>
      </c>
      <c r="J50" s="4">
        <f t="shared" si="14"/>
        <v>0</v>
      </c>
      <c r="K50" s="4">
        <f t="shared" si="15"/>
        <v>0</v>
      </c>
    </row>
    <row r="51" spans="1:11" x14ac:dyDescent="0.15">
      <c r="A51" s="4" t="s">
        <v>30</v>
      </c>
      <c r="B51" s="4" t="e">
        <f t="shared" si="16"/>
        <v>#REF!</v>
      </c>
      <c r="C51" s="4" t="e">
        <f t="shared" si="17"/>
        <v>#REF!</v>
      </c>
      <c r="D51" s="4">
        <f t="shared" si="18"/>
        <v>0</v>
      </c>
      <c r="E51" s="4">
        <f t="shared" si="19"/>
        <v>0</v>
      </c>
      <c r="F51" s="4">
        <f t="shared" si="11"/>
        <v>0</v>
      </c>
      <c r="G51" s="4">
        <f t="shared" si="20"/>
        <v>0</v>
      </c>
      <c r="H51" s="4">
        <f t="shared" si="12"/>
        <v>0</v>
      </c>
      <c r="I51" s="4">
        <f t="shared" si="13"/>
        <v>0</v>
      </c>
      <c r="J51" s="4">
        <f t="shared" si="14"/>
        <v>0</v>
      </c>
      <c r="K51" s="4">
        <f t="shared" si="15"/>
        <v>0</v>
      </c>
    </row>
    <row r="52" spans="1:11" x14ac:dyDescent="0.15">
      <c r="A52" s="4" t="s">
        <v>18</v>
      </c>
      <c r="B52" s="4" t="e">
        <f t="shared" si="16"/>
        <v>#REF!</v>
      </c>
      <c r="C52" s="4" t="e">
        <f t="shared" si="17"/>
        <v>#REF!</v>
      </c>
      <c r="D52" s="4">
        <f t="shared" si="18"/>
        <v>0</v>
      </c>
      <c r="E52" s="4">
        <f t="shared" si="19"/>
        <v>0</v>
      </c>
      <c r="F52" s="4">
        <f t="shared" si="11"/>
        <v>0</v>
      </c>
      <c r="G52" s="4">
        <f t="shared" si="20"/>
        <v>0</v>
      </c>
      <c r="H52" s="4">
        <f t="shared" si="12"/>
        <v>0</v>
      </c>
      <c r="I52" s="4">
        <f t="shared" si="13"/>
        <v>0</v>
      </c>
      <c r="J52" s="4">
        <f t="shared" si="14"/>
        <v>0</v>
      </c>
      <c r="K52" s="4">
        <f t="shared" si="15"/>
        <v>0</v>
      </c>
    </row>
    <row r="53" spans="1:11" x14ac:dyDescent="0.15">
      <c r="A53" s="4" t="s">
        <v>31</v>
      </c>
      <c r="B53" s="4" t="e">
        <f t="shared" si="16"/>
        <v>#REF!</v>
      </c>
      <c r="C53" s="4" t="e">
        <f t="shared" si="17"/>
        <v>#REF!</v>
      </c>
      <c r="D53" s="20">
        <f t="shared" si="18"/>
        <v>0</v>
      </c>
      <c r="E53" s="20">
        <f t="shared" si="19"/>
        <v>0</v>
      </c>
      <c r="F53" s="20">
        <f t="shared" si="11"/>
        <v>0</v>
      </c>
      <c r="G53" s="20">
        <f t="shared" si="20"/>
        <v>0</v>
      </c>
      <c r="H53" s="4">
        <f t="shared" si="12"/>
        <v>0</v>
      </c>
      <c r="I53" s="4">
        <f t="shared" si="13"/>
        <v>0</v>
      </c>
      <c r="J53" s="4">
        <f t="shared" si="14"/>
        <v>0</v>
      </c>
      <c r="K53" s="4">
        <f t="shared" si="15"/>
        <v>0</v>
      </c>
    </row>
    <row r="54" spans="1:11" x14ac:dyDescent="0.15">
      <c r="A54" s="4" t="s">
        <v>32</v>
      </c>
      <c r="B54" s="4" t="e">
        <f t="shared" si="16"/>
        <v>#REF!</v>
      </c>
      <c r="C54" s="4" t="e">
        <f t="shared" si="17"/>
        <v>#REF!</v>
      </c>
      <c r="D54" s="4">
        <f t="shared" si="18"/>
        <v>0</v>
      </c>
      <c r="E54" s="4">
        <f t="shared" si="19"/>
        <v>0</v>
      </c>
      <c r="F54" s="4">
        <f t="shared" si="11"/>
        <v>0</v>
      </c>
      <c r="G54" s="4">
        <f t="shared" si="20"/>
        <v>0</v>
      </c>
      <c r="H54" s="4">
        <f t="shared" si="12"/>
        <v>0</v>
      </c>
      <c r="I54" s="4">
        <f t="shared" si="13"/>
        <v>0</v>
      </c>
      <c r="J54" s="4">
        <f t="shared" si="14"/>
        <v>0</v>
      </c>
      <c r="K54" s="4">
        <f t="shared" si="15"/>
        <v>0</v>
      </c>
    </row>
    <row r="55" spans="1:11" x14ac:dyDescent="0.15">
      <c r="A55" s="4" t="s">
        <v>21</v>
      </c>
      <c r="B55" s="4" t="e">
        <f t="shared" si="16"/>
        <v>#REF!</v>
      </c>
      <c r="C55" s="4" t="e">
        <f t="shared" si="17"/>
        <v>#REF!</v>
      </c>
      <c r="D55" s="4">
        <f t="shared" si="18"/>
        <v>0</v>
      </c>
      <c r="E55" s="4">
        <f t="shared" si="19"/>
        <v>0</v>
      </c>
      <c r="F55" s="4">
        <f t="shared" si="11"/>
        <v>0</v>
      </c>
      <c r="G55" s="4">
        <f t="shared" si="20"/>
        <v>0</v>
      </c>
      <c r="H55" s="4">
        <f t="shared" si="12"/>
        <v>0</v>
      </c>
      <c r="I55" s="4">
        <f t="shared" si="13"/>
        <v>0</v>
      </c>
      <c r="J55" s="4">
        <f t="shared" si="14"/>
        <v>0</v>
      </c>
      <c r="K55" s="4">
        <f t="shared" si="15"/>
        <v>0</v>
      </c>
    </row>
    <row r="56" spans="1:11" x14ac:dyDescent="0.15">
      <c r="A56" s="4" t="s">
        <v>50</v>
      </c>
      <c r="B56" s="4" t="e">
        <f>B52</f>
        <v>#REF!</v>
      </c>
      <c r="C56" s="4" t="e">
        <f t="shared" ref="C56:K56" si="21">C52</f>
        <v>#REF!</v>
      </c>
      <c r="D56" s="4">
        <f t="shared" si="21"/>
        <v>0</v>
      </c>
      <c r="E56" s="4">
        <f t="shared" si="21"/>
        <v>0</v>
      </c>
      <c r="F56" s="4">
        <f t="shared" si="21"/>
        <v>0</v>
      </c>
      <c r="G56" s="4">
        <f>G52</f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</row>
    <row r="58" spans="1:11" x14ac:dyDescent="0.15">
      <c r="A58" s="9" t="s">
        <v>51</v>
      </c>
      <c r="B58" s="11" t="s">
        <v>8</v>
      </c>
      <c r="C58" s="11" t="s">
        <v>9</v>
      </c>
      <c r="D58" s="11" t="s">
        <v>10</v>
      </c>
      <c r="E58" s="11" t="s">
        <v>23</v>
      </c>
      <c r="F58" s="11" t="s">
        <v>11</v>
      </c>
    </row>
    <row r="59" spans="1:11" x14ac:dyDescent="0.15">
      <c r="A59" s="4" t="s">
        <v>14</v>
      </c>
      <c r="B59" s="19" t="e">
        <f t="shared" ref="B59:B66" si="22">IF(B47&lt;&gt;C47,(B47*100)&amp;"/"&amp;C47*100,B47*100)</f>
        <v>#REF!</v>
      </c>
      <c r="C59" s="19" t="str">
        <f>IF(D4="","",(IF(D47&lt;&gt;E47,(D47*100)&amp;"/"&amp;E47*100,D47*100)))</f>
        <v/>
      </c>
      <c r="D59" s="19" t="str">
        <f>IF(E4="","",(IF(F47&lt;&gt;G47,(F47*100)&amp;"/"&amp;G47*100,F47*100)))</f>
        <v/>
      </c>
      <c r="E59" s="19" t="str">
        <f>IF(F4="","",(IF(H47&lt;&gt;I47,(H47*100)&amp;"/"&amp;I47*100,H47*100)))</f>
        <v/>
      </c>
      <c r="F59" s="19" t="str">
        <f>IF(G4="","",(IF(J47&lt;&gt;K47,(J47*100)&amp;"/"&amp;K47*100,J47*100)))</f>
        <v/>
      </c>
    </row>
    <row r="60" spans="1:11" x14ac:dyDescent="0.15">
      <c r="A60" s="4" t="s">
        <v>15</v>
      </c>
      <c r="B60" s="19" t="e">
        <f t="shared" si="22"/>
        <v>#REF!</v>
      </c>
      <c r="C60" s="19" t="str">
        <f>IF(D4="","",(IF(D48&lt;&gt;E48,(D48*100)&amp;"/"&amp;E48*100,D48*100)))</f>
        <v/>
      </c>
      <c r="D60" s="19" t="str">
        <f>IF(E4="","",(IF(F48&lt;&gt;G48,(F48*100)&amp;"/"&amp;G48*100,F48*100)))</f>
        <v/>
      </c>
      <c r="E60" s="19" t="str">
        <f>IF(F4="","",(IF(H48&lt;&gt;I48,(H48*100)&amp;"/"&amp;I48*100,H48*100)))</f>
        <v/>
      </c>
      <c r="F60" s="19" t="str">
        <f>IF(G4="","",(IF(J48&lt;&gt;K48,(J48*100)&amp;"/"&amp;K48*100,J48*100)))</f>
        <v/>
      </c>
    </row>
    <row r="61" spans="1:11" x14ac:dyDescent="0.15">
      <c r="A61" s="4" t="s">
        <v>29</v>
      </c>
      <c r="B61" s="19" t="e">
        <f t="shared" si="22"/>
        <v>#REF!</v>
      </c>
      <c r="C61" s="19" t="str">
        <f>IF(D4="","",(IF(D49&lt;&gt;E49,(D49*100)&amp;"/"&amp;E49*100,D49*100)))</f>
        <v/>
      </c>
      <c r="D61" s="19" t="str">
        <f>IF(E4="","",(IF(F49&lt;&gt;G49,(F49*100)&amp;"/"&amp;G49*100,F49*100)))</f>
        <v/>
      </c>
      <c r="E61" s="19" t="str">
        <f>IF(F4="","",(IF(H49&lt;&gt;I49,(H49*100)&amp;"/"&amp;I49*100,H49*100)))</f>
        <v/>
      </c>
      <c r="F61" s="19" t="str">
        <f>IF(G4="","",(IF(J49&lt;&gt;K49,(J49*100)&amp;"/"&amp;K49*100,J49*100)))</f>
        <v/>
      </c>
    </row>
    <row r="62" spans="1:11" x14ac:dyDescent="0.15">
      <c r="A62" s="4" t="s">
        <v>19</v>
      </c>
      <c r="B62" s="19" t="e">
        <f t="shared" si="22"/>
        <v>#REF!</v>
      </c>
      <c r="C62" s="19" t="str">
        <f>IF(D4="","",(IF(D50&lt;&gt;E50,(D50*100)&amp;"/"&amp;E50*100,D50*100)))</f>
        <v/>
      </c>
      <c r="D62" s="19" t="str">
        <f>IF(E4="","",(IF(F50&lt;&gt;G50,(F50*100)&amp;"/"&amp;G50*100,F50*100)))</f>
        <v/>
      </c>
      <c r="E62" s="19" t="str">
        <f>IF(F4="","",(IF(H50&lt;&gt;I50,(H50*100)&amp;"/"&amp;I50*100,H50*100)))</f>
        <v/>
      </c>
      <c r="F62" s="19" t="str">
        <f>IF(G4="","",(IF(J50&lt;&gt;K50,(J50*100)&amp;"/"&amp;K50*100,J50*100)))</f>
        <v/>
      </c>
    </row>
    <row r="63" spans="1:11" x14ac:dyDescent="0.15">
      <c r="A63" s="4" t="s">
        <v>30</v>
      </c>
      <c r="B63" s="19" t="e">
        <f t="shared" si="22"/>
        <v>#REF!</v>
      </c>
      <c r="C63" s="19" t="str">
        <f>IF(D4="","",(IF(D51&lt;&gt;E51,(D51*100)&amp;"/"&amp;E51*100,D51*100)))</f>
        <v/>
      </c>
      <c r="D63" s="19" t="str">
        <f>IF(E4="","",(IF(F51&lt;&gt;G51,(F51*100)&amp;"/"&amp;G51*100,F51*100)))</f>
        <v/>
      </c>
      <c r="E63" s="19" t="str">
        <f>IF(F4="","",(IF(H51&lt;&gt;I51,(H51*100)&amp;"/"&amp;I51*100,H51*100)))</f>
        <v/>
      </c>
      <c r="F63" s="19" t="str">
        <f>IF(G4="","",(IF(J51&lt;&gt;K51,(J51*100)&amp;"/"&amp;K51*100,J51*100)))</f>
        <v/>
      </c>
    </row>
    <row r="64" spans="1:11" x14ac:dyDescent="0.15">
      <c r="A64" s="4" t="s">
        <v>18</v>
      </c>
      <c r="B64" s="19" t="e">
        <f t="shared" si="22"/>
        <v>#REF!</v>
      </c>
      <c r="C64" s="19" t="str">
        <f>IF(D4="","",(IF(D4="","",(IF(D52&lt;&gt;E52,(D52*100)&amp;"/"&amp;E52*100,D52*100)))))</f>
        <v/>
      </c>
      <c r="D64" s="19" t="str">
        <f>IF(E4="","",(IF(F52&lt;&gt;G52,(F52*100)&amp;"/"&amp;G52*100,F52*100)))</f>
        <v/>
      </c>
      <c r="E64" s="19" t="str">
        <f>IF(F4="","",(IF(H52&lt;&gt;I52,(H52*100)&amp;"/"&amp;I52*100,H52*100)))</f>
        <v/>
      </c>
      <c r="F64" s="19" t="str">
        <f>IF(G4="","",(IF(J52&lt;&gt;K52,(J52*100)&amp;"/"&amp;K52*100,J52*100)))</f>
        <v/>
      </c>
    </row>
    <row r="65" spans="1:12" x14ac:dyDescent="0.15">
      <c r="A65" s="4" t="s">
        <v>31</v>
      </c>
      <c r="B65" s="19" t="e">
        <f t="shared" si="22"/>
        <v>#REF!</v>
      </c>
      <c r="C65" s="19" t="str">
        <f>IF(D4="","",(IF(D53&lt;&gt;E53,(D53*100)&amp;"/"&amp;E53*100,D53*100)))</f>
        <v/>
      </c>
      <c r="D65" s="19" t="str">
        <f>IF(E4="","",(IF(F53&lt;&gt;G53,(F53*100)&amp;"/"&amp;G53*100,F53*100)))</f>
        <v/>
      </c>
      <c r="E65" s="19" t="str">
        <f>IF(F4="","",(IF(H53&lt;&gt;I53,(H53*100)&amp;"/"&amp;I53*100,H53*100)))</f>
        <v/>
      </c>
      <c r="F65" s="19" t="str">
        <f>IF(G4="","",(IF(J53&lt;&gt;K53,(J53*100)&amp;"/"&amp;K53*100,J53*100)))</f>
        <v/>
      </c>
    </row>
    <row r="66" spans="1:12" x14ac:dyDescent="0.15">
      <c r="A66" s="4" t="s">
        <v>32</v>
      </c>
      <c r="B66" s="19" t="e">
        <f t="shared" si="22"/>
        <v>#REF!</v>
      </c>
      <c r="C66" s="19" t="str">
        <f>IF(D4="","",(IF(D54&lt;&gt;E54,(D54*100)&amp;"/"&amp;E54*100,D54*100)))</f>
        <v/>
      </c>
      <c r="D66" s="19" t="str">
        <f>IF(E4="","",(IF(F54&lt;&gt;G54,(F54*100)&amp;"/"&amp;G54*100,F54*100)))</f>
        <v/>
      </c>
      <c r="E66" s="19" t="str">
        <f>IF(F4="","",(IF(H54&lt;&gt;I54,(H54*100)&amp;"/"&amp;I54*100,H54*100)))</f>
        <v/>
      </c>
      <c r="F66" s="19" t="str">
        <f>IF(G4="","",(IF(J54&lt;&gt;K54,(J54*100)&amp;"/"&amp;K54*100,J54*100)))</f>
        <v/>
      </c>
    </row>
    <row r="67" spans="1:12" x14ac:dyDescent="0.15">
      <c r="A67" s="4" t="s">
        <v>21</v>
      </c>
      <c r="B67" s="19" t="e">
        <f>IF(B55&lt;&gt;C55,(B55*100)&amp;"/"&amp;C55*100,B55*100)</f>
        <v>#REF!</v>
      </c>
      <c r="C67" s="19" t="str">
        <f>IF(D4="","",(IF(D55&lt;&gt;E55,(D55*100)&amp;"/"&amp;E55*100,D55*100)))</f>
        <v/>
      </c>
      <c r="D67" s="19" t="str">
        <f>IF(E4="","",(IF(F55&lt;&gt;G55,(F55*100)&amp;"/"&amp;G55*100,F55*100)))</f>
        <v/>
      </c>
      <c r="E67" s="19" t="str">
        <f>IF(F4="","",(IF(H55&lt;&gt;I55,(H55*100)&amp;"/"&amp;I55*100,H55*100)))</f>
        <v/>
      </c>
      <c r="F67" s="19" t="str">
        <f>IF(G4="","",(IF(J55&lt;&gt;K55,(J55*100)&amp;"/"&amp;K55*100,J55*100)))</f>
        <v/>
      </c>
    </row>
    <row r="68" spans="1:12" x14ac:dyDescent="0.15">
      <c r="A68" s="4" t="s">
        <v>136</v>
      </c>
      <c r="B68" s="19" t="e">
        <f>IF(B56&lt;&gt;C56,(B56*100)&amp;"/"&amp;C56*100,B56*100)</f>
        <v>#REF!</v>
      </c>
      <c r="C68" s="19">
        <f>IF(D4=0,"",(IF(D56&lt;&gt;E56,(D56*100)&amp;"/"&amp;E56*100,D56*100)))</f>
        <v>0</v>
      </c>
      <c r="D68" s="19">
        <f>IF(E4=0,"",(IF(F56&lt;&gt;G56,(F56*100)&amp;"/"&amp;G56*100,F56*100)))</f>
        <v>0</v>
      </c>
      <c r="E68" s="19">
        <f>IF(F4=0,"",(IF(H56&lt;&gt;I56,(H56*100)&amp;"/"&amp;I56*100,H56*100)))</f>
        <v>0</v>
      </c>
      <c r="F68" s="19">
        <f>IF(G4=0,"",(IF(J56&lt;&gt;K56,(J56*100)&amp;"/"&amp;K56*100,J56*100)))</f>
        <v>0</v>
      </c>
    </row>
    <row r="69" spans="1:12" x14ac:dyDescent="0.15">
      <c r="A69" s="4" t="s">
        <v>137</v>
      </c>
      <c r="B69" s="106" t="e">
        <f>IF(C13&lt;=0.5,C56*100,B68)</f>
        <v>#REF!</v>
      </c>
      <c r="C69" s="106">
        <f>IF(D13&lt;=0.5,E56*100,C68)</f>
        <v>0</v>
      </c>
      <c r="D69" s="106">
        <f>IF(E13&lt;=0.5,G56*100,D68)</f>
        <v>0</v>
      </c>
      <c r="E69" s="106">
        <f>IF(F13&lt;=0.5,I56*100,E68)</f>
        <v>0</v>
      </c>
      <c r="F69" s="106">
        <f>IF(G13=0.5,K56*100,F68)</f>
        <v>0</v>
      </c>
    </row>
    <row r="70" spans="1:12" x14ac:dyDescent="0.15">
      <c r="A70" s="4" t="s">
        <v>138</v>
      </c>
      <c r="B70" s="106" t="e">
        <f>IF(C13=1,C56*100,B69)</f>
        <v>#REF!</v>
      </c>
      <c r="C70" s="106">
        <f>IF(D13=1,E56*100,C69)</f>
        <v>0</v>
      </c>
      <c r="D70" s="106">
        <f>IF(E13=1,G56*100,D69)</f>
        <v>0</v>
      </c>
      <c r="E70" s="106">
        <f>IF(F13=0.5,I56*100,E69)</f>
        <v>0</v>
      </c>
      <c r="F70" s="106">
        <f>IF(G13=1,K56*100,F68)</f>
        <v>0</v>
      </c>
    </row>
    <row r="71" spans="1:12" x14ac:dyDescent="0.15">
      <c r="A71" s="4" t="s">
        <v>51</v>
      </c>
      <c r="B71" s="19"/>
      <c r="C71" s="19"/>
      <c r="D71" s="19"/>
      <c r="E71" s="19"/>
      <c r="F71" s="19"/>
    </row>
    <row r="73" spans="1:12" x14ac:dyDescent="0.15">
      <c r="A73" s="2" t="s">
        <v>85</v>
      </c>
    </row>
    <row r="74" spans="1:12" x14ac:dyDescent="0.15">
      <c r="A74" s="9" t="s">
        <v>94</v>
      </c>
      <c r="B74" s="10" t="s">
        <v>33</v>
      </c>
      <c r="C74" s="10" t="s">
        <v>34</v>
      </c>
      <c r="D74" s="10" t="s">
        <v>43</v>
      </c>
      <c r="E74" s="10" t="s">
        <v>35</v>
      </c>
      <c r="F74" s="10" t="s">
        <v>36</v>
      </c>
      <c r="G74" s="10" t="s">
        <v>37</v>
      </c>
      <c r="H74" s="10" t="s">
        <v>38</v>
      </c>
      <c r="I74" s="10" t="s">
        <v>39</v>
      </c>
      <c r="J74" s="10" t="s">
        <v>40</v>
      </c>
      <c r="K74" s="10" t="s">
        <v>41</v>
      </c>
      <c r="L74" s="10" t="s">
        <v>42</v>
      </c>
    </row>
    <row r="75" spans="1:12" x14ac:dyDescent="0.15">
      <c r="A75" s="4" t="s">
        <v>86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15">
      <c r="A76" s="4" t="s">
        <v>87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15">
      <c r="A77" s="4" t="s">
        <v>88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15">
      <c r="A78" s="4" t="s">
        <v>89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15">
      <c r="A79" s="4" t="s">
        <v>90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15">
      <c r="A80" s="4" t="s">
        <v>91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15">
      <c r="A81" s="4" t="s">
        <v>92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15">
      <c r="A82" s="4" t="s">
        <v>93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15">
      <c r="A84" s="9" t="s">
        <v>94</v>
      </c>
      <c r="B84" s="237" t="s">
        <v>8</v>
      </c>
      <c r="C84" s="238"/>
      <c r="D84" s="237" t="s">
        <v>9</v>
      </c>
      <c r="E84" s="238"/>
      <c r="F84" s="237" t="s">
        <v>10</v>
      </c>
      <c r="G84" s="238"/>
      <c r="H84" s="237" t="s">
        <v>23</v>
      </c>
      <c r="I84" s="238"/>
      <c r="J84" s="237" t="s">
        <v>11</v>
      </c>
      <c r="K84" s="238"/>
    </row>
    <row r="85" spans="1:12" x14ac:dyDescent="0.15">
      <c r="A85" s="9"/>
      <c r="B85" s="11" t="s">
        <v>45</v>
      </c>
      <c r="C85" s="11" t="s">
        <v>46</v>
      </c>
      <c r="D85" s="11" t="s">
        <v>45</v>
      </c>
      <c r="E85" s="11" t="s">
        <v>46</v>
      </c>
      <c r="F85" s="11" t="s">
        <v>45</v>
      </c>
      <c r="G85" s="11" t="s">
        <v>46</v>
      </c>
      <c r="H85" s="11" t="s">
        <v>45</v>
      </c>
      <c r="I85" s="11" t="s">
        <v>46</v>
      </c>
      <c r="J85" s="11" t="s">
        <v>45</v>
      </c>
      <c r="K85" s="11" t="s">
        <v>46</v>
      </c>
    </row>
    <row r="86" spans="1:12" x14ac:dyDescent="0.15">
      <c r="A86" s="4" t="s">
        <v>86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15">
      <c r="A87" s="4" t="s">
        <v>87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15">
      <c r="A88" s="4" t="s">
        <v>88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15">
      <c r="A89" s="4" t="s">
        <v>89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15">
      <c r="A90" s="4" t="s">
        <v>90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15">
      <c r="A91" s="4" t="s">
        <v>97</v>
      </c>
      <c r="B91" s="26">
        <f>Request!$L$207</f>
        <v>0</v>
      </c>
      <c r="C91" s="26">
        <f>Request!$L$207</f>
        <v>0</v>
      </c>
      <c r="D91" s="26">
        <f>Request!$L$207</f>
        <v>0</v>
      </c>
      <c r="E91" s="26">
        <f>Request!$L$207</f>
        <v>0</v>
      </c>
      <c r="F91" s="26">
        <f>Request!$L$207</f>
        <v>0</v>
      </c>
      <c r="G91" s="26">
        <f>Request!$L$207</f>
        <v>0</v>
      </c>
      <c r="H91" s="26">
        <f>Request!$L$207</f>
        <v>0</v>
      </c>
      <c r="I91" s="26">
        <f>Request!$L$207</f>
        <v>0</v>
      </c>
      <c r="J91" s="26">
        <f>Request!$L$207</f>
        <v>0</v>
      </c>
      <c r="K91" s="26">
        <f>Request!$L$207</f>
        <v>0</v>
      </c>
    </row>
    <row r="92" spans="1:12" x14ac:dyDescent="0.15">
      <c r="A92" s="4" t="s">
        <v>91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15">
      <c r="A93" s="4" t="s">
        <v>92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15">
      <c r="A95" s="1" t="s">
        <v>104</v>
      </c>
      <c r="B95" s="237" t="s">
        <v>8</v>
      </c>
      <c r="C95" s="238"/>
      <c r="D95" s="237" t="s">
        <v>9</v>
      </c>
      <c r="E95" s="238"/>
      <c r="F95" s="237" t="s">
        <v>10</v>
      </c>
      <c r="G95" s="238"/>
      <c r="H95" s="237" t="s">
        <v>23</v>
      </c>
      <c r="I95" s="238"/>
      <c r="J95" s="237" t="s">
        <v>11</v>
      </c>
      <c r="K95" s="238"/>
    </row>
    <row r="96" spans="1:12" x14ac:dyDescent="0.15">
      <c r="B96" s="11" t="s">
        <v>45</v>
      </c>
      <c r="C96" s="11" t="s">
        <v>46</v>
      </c>
      <c r="D96" s="11" t="s">
        <v>45</v>
      </c>
      <c r="E96" s="11" t="s">
        <v>46</v>
      </c>
      <c r="F96" s="11" t="s">
        <v>45</v>
      </c>
      <c r="G96" s="11" t="s">
        <v>46</v>
      </c>
      <c r="H96" s="11" t="s">
        <v>45</v>
      </c>
      <c r="I96" s="11" t="s">
        <v>46</v>
      </c>
      <c r="J96" s="11" t="s">
        <v>45</v>
      </c>
      <c r="K96" s="11" t="s">
        <v>46</v>
      </c>
    </row>
    <row r="97" spans="1:11" x14ac:dyDescent="0.15">
      <c r="B97" s="112">
        <f>IF(Request!F205=Worksheet!A86,Worksheet!B86,IF(Request!F205=Worksheet!A87,Worksheet!B87,IF(Request!F205=Worksheet!A88,Worksheet!B88,IF(Request!F205=Worksheet!A89,Worksheet!B89,IF(Request!F205=Worksheet!A90,Worksheet!B90,IF(Request!F205=Worksheet!A91,Worksheet!B91))))))</f>
        <v>0.56999999999999995</v>
      </c>
      <c r="C97" s="37">
        <f>IF(Request!F205=Worksheet!A86,Worksheet!C86,IF(Request!F205=Worksheet!A87,Worksheet!C87,IF(Request!F205=Worksheet!A88,Worksheet!C88,IF(Request!F205=Worksheet!A89,Worksheet!C89,IF(Request!F205=Worksheet!A90,Worksheet!C90,IF(Request!F205=Worksheet!A91,Worksheet!C91))))))</f>
        <v>0.56999999999999995</v>
      </c>
      <c r="D97" s="37">
        <f>IF(Request!$F$205=Worksheet!$A$86,Worksheet!D86,IF(Request!$F$205=Worksheet!$A$87,Worksheet!D87,IF(Request!$F$205=Worksheet!$A$88,Worksheet!D88,IF(Request!$F$205=Worksheet!$A$89,Worksheet!D89,IF(Request!$F$205=Worksheet!$A$90,Worksheet!D90,IF(Request!$F$205=Worksheet!$A$91,Worksheet!D91))))))</f>
        <v>0.56999999999999995</v>
      </c>
      <c r="E97" s="37">
        <f>IF(Request!$F$205=Worksheet!$A$86,Worksheet!E86,IF(Request!$F$205=Worksheet!$A$87,Worksheet!E87,IF(Request!$F$205=Worksheet!$A$88,Worksheet!E88,IF(Request!$F$205=Worksheet!$A$89,Worksheet!E89,IF(Request!$F$205=Worksheet!$A$90,Worksheet!E90,IF(Request!$F$205=Worksheet!$A$91,Worksheet!E91))))))</f>
        <v>0.56999999999999995</v>
      </c>
      <c r="F97" s="37">
        <f>IF(Request!$F$205=Worksheet!$A$86,Worksheet!F86,IF(Request!$F$205=Worksheet!$A$87,Worksheet!F87,IF(Request!$F$205=Worksheet!$A$88,Worksheet!F88,IF(Request!$F$205=Worksheet!$A$89,Worksheet!F89,IF(Request!$F$205=Worksheet!$A$90,Worksheet!F90,IF(Request!$F$205=Worksheet!$A$91,Worksheet!F91))))))</f>
        <v>0.56999999999999995</v>
      </c>
      <c r="G97" s="37">
        <f>IF(Request!$F$205=Worksheet!$A$86,Worksheet!G86,IF(Request!$F$205=Worksheet!$A$87,Worksheet!G87,IF(Request!$F$205=Worksheet!$A$88,Worksheet!G88,IF(Request!$F$205=Worksheet!$A$89,Worksheet!G89,IF(Request!$F$205=Worksheet!$A$90,Worksheet!G90,IF(Request!$F$205=Worksheet!$A$91,Worksheet!G91))))))</f>
        <v>0.56999999999999995</v>
      </c>
      <c r="H97" s="37">
        <f>IF(Request!$F$205=Worksheet!$A$86,Worksheet!H86,IF(Request!$F$205=Worksheet!$A$87,Worksheet!H87,IF(Request!$F$205=Worksheet!$A$88,Worksheet!H88,IF(Request!$F$205=Worksheet!$A$89,Worksheet!H89,IF(Request!$F$205=Worksheet!$A$90,Worksheet!H90,IF(Request!$F$205=Worksheet!$A$91,Worksheet!H91))))))</f>
        <v>0.56999999999999995</v>
      </c>
      <c r="I97" s="37">
        <f>IF(Request!$F$205=Worksheet!$A$86,Worksheet!I86,IF(Request!$F$205=Worksheet!$A$87,Worksheet!I87,IF(Request!$F$205=Worksheet!$A$88,Worksheet!I88,IF(Request!$F$205=Worksheet!$A$89,Worksheet!I89,IF(Request!$F$205=Worksheet!$A$90,Worksheet!I90,IF(Request!$F$205=Worksheet!$A$91,Worksheet!I91))))))</f>
        <v>0.56999999999999995</v>
      </c>
      <c r="J97" s="37">
        <f>IF(Request!$F$205=Worksheet!$A$86,Worksheet!J86,IF(Request!$F$205=Worksheet!$A$87,Worksheet!J87,IF(Request!$F$205=Worksheet!$A$88,Worksheet!J88,IF(Request!$F$205=Worksheet!$A$89,Worksheet!J89,IF(Request!$F$205=Worksheet!$A$90,Worksheet!J90,IF(Request!$F$205=Worksheet!$A$91,Worksheet!J91))))))</f>
        <v>0.56999999999999995</v>
      </c>
      <c r="K97" s="37">
        <f>IF(Request!$F$205=Worksheet!$A$86,Worksheet!K86,IF(Request!$F$205=Worksheet!$A$87,Worksheet!K87,IF(Request!$F$205=Worksheet!$A$88,Worksheet!K88,IF(Request!$F$205=Worksheet!$A$89,Worksheet!K89,IF(Request!$F$205=Worksheet!$A$90,Worksheet!K90,IF(Request!$F$205=Worksheet!$A$91,Worksheet!K91))))))</f>
        <v>0.56999999999999995</v>
      </c>
    </row>
    <row r="98" spans="1:11" x14ac:dyDescent="0.15">
      <c r="A98" s="1" t="s">
        <v>105</v>
      </c>
      <c r="B98" s="227" t="s">
        <v>8</v>
      </c>
      <c r="C98" s="227"/>
      <c r="D98" s="227" t="s">
        <v>9</v>
      </c>
      <c r="E98" s="227"/>
      <c r="F98" s="227" t="s">
        <v>10</v>
      </c>
      <c r="G98" s="227"/>
      <c r="H98" s="225" t="s">
        <v>23</v>
      </c>
      <c r="I98" s="226"/>
      <c r="J98" s="228" t="s">
        <v>11</v>
      </c>
      <c r="K98" s="229"/>
    </row>
    <row r="99" spans="1:11" x14ac:dyDescent="0.15">
      <c r="B99" s="232" t="str">
        <f>IF(B97=C97,B97*100&amp;"%",B97*100&amp;"%"&amp;"/"&amp;C97*100&amp;"%")</f>
        <v>57%</v>
      </c>
      <c r="C99" s="232"/>
      <c r="D99" s="232" t="str">
        <f>IF(D97=E97,D97*100&amp;"%",D97*100&amp;"%"&amp;"/"&amp;E97*100&amp;"%")</f>
        <v>57%</v>
      </c>
      <c r="E99" s="232"/>
      <c r="F99" s="232" t="str">
        <f>IF(F97=G97,F97*100&amp;"%",F97*100&amp;"%"&amp;"/"&amp;G97*100&amp;"%")</f>
        <v>57%</v>
      </c>
      <c r="G99" s="232"/>
      <c r="H99" s="225" t="str">
        <f>IF(H97=I97,H97*100&amp;"%",H97*100&amp;"%"&amp;"/"&amp;I97*100&amp;"%")</f>
        <v>57%</v>
      </c>
      <c r="I99" s="226"/>
      <c r="J99" s="225" t="str">
        <f>IF(J97=K97,J97*100&amp;"%",J97*100&amp;"%"&amp;"/"&amp;K97*100&amp;"%")</f>
        <v>57%</v>
      </c>
      <c r="K99" s="226"/>
    </row>
    <row r="100" spans="1:11" x14ac:dyDescent="0.15">
      <c r="H100" s="38"/>
    </row>
    <row r="103" spans="1:11" x14ac:dyDescent="0.15">
      <c r="A103" s="9" t="s">
        <v>106</v>
      </c>
      <c r="B103" s="4" t="s">
        <v>107</v>
      </c>
      <c r="C103" s="9" t="s">
        <v>8</v>
      </c>
      <c r="D103" s="9" t="s">
        <v>9</v>
      </c>
      <c r="E103" s="9" t="s">
        <v>10</v>
      </c>
      <c r="F103" s="9" t="s">
        <v>23</v>
      </c>
      <c r="G103" s="9" t="s">
        <v>11</v>
      </c>
      <c r="H103" s="9" t="s">
        <v>12</v>
      </c>
    </row>
    <row r="104" spans="1:11" x14ac:dyDescent="0.15">
      <c r="A104" s="40">
        <f>Request!B128</f>
        <v>0</v>
      </c>
      <c r="B104" s="4" t="str">
        <f>IF(Request!K128="non-UC","No","Yes")</f>
        <v>Yes</v>
      </c>
      <c r="C104" s="4">
        <f>Request!N128+(IF(Request!$K129="IC of Above",Request!N129,0))</f>
        <v>0</v>
      </c>
      <c r="D104" s="4">
        <f>Request!O128+(IF(Request!$K129="IC of Above",Request!O129,0))</f>
        <v>0</v>
      </c>
      <c r="E104" s="4">
        <f>Request!P128+(IF(Request!$K129="IC of Above",Request!P129,0))</f>
        <v>0</v>
      </c>
      <c r="F104" s="4">
        <f>Request!Q128+(IF(Request!$K129="IC of Above",Request!Q129,0))</f>
        <v>0</v>
      </c>
      <c r="G104" s="4">
        <f>Request!R128+(IF(Request!$K129="IC of Above",Request!R129,0))</f>
        <v>0</v>
      </c>
      <c r="H104" s="4">
        <f t="shared" ref="H104:H118" si="23">SUM(C104:G104)</f>
        <v>0</v>
      </c>
    </row>
    <row r="105" spans="1:11" x14ac:dyDescent="0.15">
      <c r="A105" s="40">
        <f>Request!B129</f>
        <v>0</v>
      </c>
      <c r="B105" s="4" t="str">
        <f>IF(Request!K129="non-UC","No",IF(Request!K35="IC of Above","Yes","Yes"))</f>
        <v>Yes</v>
      </c>
      <c r="C105" s="4">
        <f>IF(Request!$K129="IC of Above",0,Request!N129+IF(Request!$K130="IC of Above",Request!N130,0))</f>
        <v>0</v>
      </c>
      <c r="D105" s="4">
        <f>IF(Request!$K129="IC of Above",0,Request!O129+IF(Request!$K130="IC of Above",Request!O130,0))</f>
        <v>0</v>
      </c>
      <c r="E105" s="4">
        <f>IF(Request!$K129="IC of Above",0,Request!P129+IF(Request!$K130="IC of Above",Request!P130,0))</f>
        <v>0</v>
      </c>
      <c r="F105" s="4">
        <f>IF(Request!$K129="IC of Above",0,Request!Q129+IF(Request!$K130="IC of Above",Request!Q130,0))</f>
        <v>0</v>
      </c>
      <c r="G105" s="4">
        <f>IF(Request!$K129="IC of Above",0,Request!R129+IF(Request!$K130="IC of Above",Request!R130,0))</f>
        <v>0</v>
      </c>
      <c r="H105" s="4">
        <f t="shared" si="23"/>
        <v>0</v>
      </c>
    </row>
    <row r="106" spans="1:11" x14ac:dyDescent="0.15">
      <c r="A106" s="40">
        <f>Request!B130</f>
        <v>0</v>
      </c>
      <c r="B106" s="4" t="str">
        <f>IF(Request!K130="non-UC","No","Yes")</f>
        <v>Yes</v>
      </c>
      <c r="C106" s="4">
        <f>IF(Request!$K130="IC of Above",0,Request!N130+IF(Request!$K131="IC of Above",Request!N131,0))</f>
        <v>0</v>
      </c>
      <c r="D106" s="4">
        <f>IF(Request!$K130="IC of Above",0,Request!O130+IF(Request!$K131="IC of Above",Request!O131,0))</f>
        <v>0</v>
      </c>
      <c r="E106" s="4">
        <f>IF(Request!$K130="IC of Above",0,Request!P130+IF(Request!$K131="IC of Above",Request!P131,0))</f>
        <v>0</v>
      </c>
      <c r="F106" s="4">
        <f>IF(Request!$K130="IC of Above",0,Request!Q130+IF(Request!$K131="IC of Above",Request!Q131,0))</f>
        <v>0</v>
      </c>
      <c r="G106" s="4">
        <f>IF(Request!$K130="IC of Above",0,Request!R130+IF(Request!$K131="IC of Above",Request!R131,0))</f>
        <v>0</v>
      </c>
      <c r="H106" s="4">
        <f t="shared" si="23"/>
        <v>0</v>
      </c>
    </row>
    <row r="107" spans="1:11" x14ac:dyDescent="0.15">
      <c r="A107" s="40">
        <f>Request!B131</f>
        <v>0</v>
      </c>
      <c r="B107" s="4" t="str">
        <f>IF(Request!K131="non-UC","No","Yes")</f>
        <v>Yes</v>
      </c>
      <c r="C107" s="4">
        <f>IF(Request!$K131="IC of Above",0,Request!N131+IF(Request!$K132="IC of Above",Request!N132,0))</f>
        <v>0</v>
      </c>
      <c r="D107" s="4">
        <f>IF(Request!$K131="IC of Above",0,Request!O131+IF(Request!$K132="IC of Above",Request!O132,0))</f>
        <v>0</v>
      </c>
      <c r="E107" s="4">
        <f>IF(Request!$K131="IC of Above",0,Request!P131+IF(Request!$K132="IC of Above",Request!P132,0))</f>
        <v>0</v>
      </c>
      <c r="F107" s="4">
        <f>IF(Request!$K131="IC of Above",0,Request!Q131+IF(Request!$K132="IC of Above",Request!Q132,0))</f>
        <v>0</v>
      </c>
      <c r="G107" s="4">
        <f>IF(Request!$K131="IC of Above",0,Request!R131+IF(Request!$K132="IC of Above",Request!R132,0))</f>
        <v>0</v>
      </c>
      <c r="H107" s="4">
        <f t="shared" si="23"/>
        <v>0</v>
      </c>
    </row>
    <row r="108" spans="1:11" x14ac:dyDescent="0.15">
      <c r="A108" s="40">
        <f>Request!B132</f>
        <v>0</v>
      </c>
      <c r="B108" s="4" t="str">
        <f>IF(Request!K132="non-UC","No","Yes")</f>
        <v>Yes</v>
      </c>
      <c r="C108" s="4">
        <f>IF(Request!$K132="IC of Above",0,Request!N132+IF(Request!$K133="IC of Above",Request!N133,0))</f>
        <v>0</v>
      </c>
      <c r="D108" s="4">
        <f>IF(Request!$K132="IC of Above",0,Request!O132+IF(Request!$K133="IC of Above",Request!O133,0))</f>
        <v>0</v>
      </c>
      <c r="E108" s="4">
        <f>IF(Request!$K132="IC of Above",0,Request!P132+IF(Request!$K133="IC of Above",Request!P133,0))</f>
        <v>0</v>
      </c>
      <c r="F108" s="4">
        <f>IF(Request!$K132="IC of Above",0,Request!Q132+IF(Request!$K133="IC of Above",Request!Q133,0))</f>
        <v>0</v>
      </c>
      <c r="G108" s="4">
        <f>IF(Request!$K132="IC of Above",0,Request!R132+IF(Request!$K133="IC of Above",Request!R133,0))</f>
        <v>0</v>
      </c>
      <c r="H108" s="4">
        <f t="shared" si="23"/>
        <v>0</v>
      </c>
    </row>
    <row r="109" spans="1:11" x14ac:dyDescent="0.15">
      <c r="A109" s="40">
        <f>Request!B133</f>
        <v>0</v>
      </c>
      <c r="B109" s="4" t="str">
        <f>IF(Request!K133="non-UC","No","Yes")</f>
        <v>Yes</v>
      </c>
      <c r="C109" s="4">
        <f>IF(Request!$K133="IC of Above",0,Request!N133+IF(Request!$K134="IC of Above",Request!N134,0))</f>
        <v>0</v>
      </c>
      <c r="D109" s="4">
        <f>IF(Request!$K133="IC of Above",0,Request!O133+IF(Request!$K134="IC of Above",Request!O134,0))</f>
        <v>0</v>
      </c>
      <c r="E109" s="4">
        <f>IF(Request!$K133="IC of Above",0,Request!P133+IF(Request!$K134="IC of Above",Request!P134,0))</f>
        <v>0</v>
      </c>
      <c r="F109" s="4">
        <f>IF(Request!$K133="IC of Above",0,Request!Q133+IF(Request!$K134="IC of Above",Request!Q134,0))</f>
        <v>0</v>
      </c>
      <c r="G109" s="4">
        <f>IF(Request!$K133="IC of Above",0,Request!R133+IF(Request!$K134="IC of Above",Request!R134,0))</f>
        <v>0</v>
      </c>
      <c r="H109" s="4">
        <f t="shared" si="23"/>
        <v>0</v>
      </c>
    </row>
    <row r="110" spans="1:11" x14ac:dyDescent="0.15">
      <c r="A110" s="40">
        <f>Request!B134</f>
        <v>0</v>
      </c>
      <c r="B110" s="4" t="str">
        <f>IF(Request!K134="non-UC","No","Yes")</f>
        <v>Yes</v>
      </c>
      <c r="C110" s="4">
        <f>IF(Request!$K134="IC of Above",0,Request!N134+IF(Request!$K135="IC of Above",Request!N135,0))</f>
        <v>0</v>
      </c>
      <c r="D110" s="4">
        <f>IF(Request!$K134="IC of Above",0,Request!O134+IF(Request!$K135="IC of Above",Request!O135,0))</f>
        <v>0</v>
      </c>
      <c r="E110" s="4">
        <f>IF(Request!$K134="IC of Above",0,Request!P134+IF(Request!$K135="IC of Above",Request!P135,0))</f>
        <v>0</v>
      </c>
      <c r="F110" s="4">
        <f>IF(Request!$K134="IC of Above",0,Request!Q134+IF(Request!$K135="IC of Above",Request!Q135,0))</f>
        <v>0</v>
      </c>
      <c r="G110" s="4">
        <f>IF(Request!$K134="IC of Above",0,Request!R134+IF(Request!$K135="IC of Above",Request!R135,0))</f>
        <v>0</v>
      </c>
      <c r="H110" s="4">
        <f t="shared" si="23"/>
        <v>0</v>
      </c>
    </row>
    <row r="111" spans="1:11" x14ac:dyDescent="0.15">
      <c r="A111" s="40">
        <f>Request!B135</f>
        <v>0</v>
      </c>
      <c r="B111" s="4" t="str">
        <f>IF(Request!K135="non-UC","No","Yes")</f>
        <v>Yes</v>
      </c>
      <c r="C111" s="4">
        <f>IF(Request!$K135="IC of Above",0,Request!N135+IF(Request!$K136="IC of Above",Request!N136,0))</f>
        <v>0</v>
      </c>
      <c r="D111" s="4">
        <f>IF(Request!$K135="IC of Above",0,Request!O135+IF(Request!$K136="IC of Above",Request!O136,0))</f>
        <v>0</v>
      </c>
      <c r="E111" s="4">
        <f>IF(Request!$K135="IC of Above",0,Request!P135+IF(Request!$K136="IC of Above",Request!P136,0))</f>
        <v>0</v>
      </c>
      <c r="F111" s="4">
        <f>IF(Request!$K135="IC of Above",0,Request!Q135+IF(Request!$K136="IC of Above",Request!Q136,0))</f>
        <v>0</v>
      </c>
      <c r="G111" s="4">
        <f>IF(Request!$K135="IC of Above",0,Request!R135+IF(Request!$K136="IC of Above",Request!R136,0))</f>
        <v>0</v>
      </c>
      <c r="H111" s="4">
        <f t="shared" si="23"/>
        <v>0</v>
      </c>
    </row>
    <row r="112" spans="1:11" x14ac:dyDescent="0.15">
      <c r="A112" s="40">
        <f>Request!B136</f>
        <v>0</v>
      </c>
      <c r="B112" s="4" t="str">
        <f>IF(Request!K136="non-UC","No","Yes")</f>
        <v>Yes</v>
      </c>
      <c r="C112" s="4">
        <f>IF(Request!$K136="IC of Above",0,Request!N136+IF(Request!$K137="IC of Above",Request!N137,0))</f>
        <v>0</v>
      </c>
      <c r="D112" s="4">
        <f>IF(Request!$K136="IC of Above",0,Request!O136+IF(Request!$K137="IC of Above",Request!O137,0))</f>
        <v>0</v>
      </c>
      <c r="E112" s="4">
        <f>IF(Request!$K136="IC of Above",0,Request!P136+IF(Request!$K137="IC of Above",Request!P137,0))</f>
        <v>0</v>
      </c>
      <c r="F112" s="4">
        <f>IF(Request!$K136="IC of Above",0,Request!Q136+IF(Request!$K137="IC of Above",Request!Q137,0))</f>
        <v>0</v>
      </c>
      <c r="G112" s="4">
        <f>IF(Request!$K136="IC of Above",0,Request!R136+IF(Request!$K137="IC of Above",Request!R137,0))</f>
        <v>0</v>
      </c>
      <c r="H112" s="4">
        <f t="shared" si="23"/>
        <v>0</v>
      </c>
    </row>
    <row r="113" spans="1:8" x14ac:dyDescent="0.15">
      <c r="A113" s="40">
        <f>Request!B137</f>
        <v>0</v>
      </c>
      <c r="B113" s="4" t="str">
        <f>IF(Request!K137="non-UC","No","Yes")</f>
        <v>Yes</v>
      </c>
      <c r="C113" s="4">
        <f>IF(Request!$K137="IC of Above",0,Request!N137+IF(Request!$K138="IC of Above",Request!N138,0))</f>
        <v>0</v>
      </c>
      <c r="D113" s="4">
        <f>IF(Request!$K137="IC of Above",0,Request!O137+IF(Request!$K138="IC of Above",Request!O138,0))</f>
        <v>0</v>
      </c>
      <c r="E113" s="4">
        <f>IF(Request!$K137="IC of Above",0,Request!P137+IF(Request!$K138="IC of Above",Request!P138,0))</f>
        <v>0</v>
      </c>
      <c r="F113" s="4">
        <f>IF(Request!$K137="IC of Above",0,Request!Q137+IF(Request!$K138="IC of Above",Request!Q138,0))</f>
        <v>0</v>
      </c>
      <c r="G113" s="4">
        <f>IF(Request!$K137="IC of Above",0,Request!R137+IF(Request!$K138="IC of Above",Request!R138,0))</f>
        <v>0</v>
      </c>
      <c r="H113" s="4">
        <f t="shared" si="23"/>
        <v>0</v>
      </c>
    </row>
    <row r="114" spans="1:8" x14ac:dyDescent="0.15">
      <c r="A114" s="40">
        <f>Request!B138</f>
        <v>0</v>
      </c>
      <c r="B114" s="4" t="str">
        <f>IF(Request!K138="non-UC","No","Yes")</f>
        <v>Yes</v>
      </c>
      <c r="C114" s="4">
        <f>IF(Request!$K138="IC of Above",0,Request!N138+IF(Request!$K139="IC of Above",Request!N139,0))</f>
        <v>0</v>
      </c>
      <c r="D114" s="4">
        <f>IF(Request!$K138="IC of Above",0,Request!O138+IF(Request!$K139="IC of Above",Request!O139,0))</f>
        <v>0</v>
      </c>
      <c r="E114" s="4">
        <f>IF(Request!$K138="IC of Above",0,Request!P138+IF(Request!$K139="IC of Above",Request!P139,0))</f>
        <v>0</v>
      </c>
      <c r="F114" s="4">
        <f>IF(Request!$K138="IC of Above",0,Request!Q138+IF(Request!$K139="IC of Above",Request!Q139,0))</f>
        <v>0</v>
      </c>
      <c r="G114" s="4">
        <f>IF(Request!$K138="IC of Above",0,Request!R138+IF(Request!$K139="IC of Above",Request!R139,0))</f>
        <v>0</v>
      </c>
      <c r="H114" s="4">
        <f t="shared" si="23"/>
        <v>0</v>
      </c>
    </row>
    <row r="115" spans="1:8" x14ac:dyDescent="0.15">
      <c r="A115" s="40">
        <f>Request!B139</f>
        <v>0</v>
      </c>
      <c r="B115" s="4" t="str">
        <f>IF(Request!K139="non-UC","No","Yes")</f>
        <v>Yes</v>
      </c>
      <c r="C115" s="4">
        <f>IF(Request!$K139="IC of Above",0,Request!N139+IF(Request!$K140="IC of Above",Request!N140,0))</f>
        <v>0</v>
      </c>
      <c r="D115" s="4">
        <f>IF(Request!$K139="IC of Above",0,Request!O139+IF(Request!$K140="IC of Above",Request!O140,0))</f>
        <v>0</v>
      </c>
      <c r="E115" s="4">
        <f>IF(Request!$K139="IC of Above",0,Request!P139+IF(Request!$K140="IC of Above",Request!P140,0))</f>
        <v>0</v>
      </c>
      <c r="F115" s="4">
        <f>IF(Request!$K139="IC of Above",0,Request!Q139+IF(Request!$K140="IC of Above",Request!Q140,0))</f>
        <v>0</v>
      </c>
      <c r="G115" s="4">
        <f>IF(Request!$K139="IC of Above",0,Request!R139+IF(Request!$K140="IC of Above",Request!R140,0))</f>
        <v>0</v>
      </c>
      <c r="H115" s="4">
        <f t="shared" si="23"/>
        <v>0</v>
      </c>
    </row>
    <row r="116" spans="1:8" x14ac:dyDescent="0.15">
      <c r="A116" s="40">
        <f>Request!B140</f>
        <v>0</v>
      </c>
      <c r="B116" s="4" t="str">
        <f>IF(Request!K140="non-UC","No","Yes")</f>
        <v>Yes</v>
      </c>
      <c r="C116" s="4">
        <f>IF(Request!$K140="IC of Above",0,Request!N140+IF(Request!$K141="IC of Above",Request!N141,0))</f>
        <v>0</v>
      </c>
      <c r="D116" s="4">
        <f>IF(Request!$K140="IC of Above",0,Request!O140+IF(Request!$K141="IC of Above",Request!O141,0))</f>
        <v>0</v>
      </c>
      <c r="E116" s="4">
        <f>IF(Request!$K140="IC of Above",0,Request!P140+IF(Request!$K141="IC of Above",Request!P141,0))</f>
        <v>0</v>
      </c>
      <c r="F116" s="4">
        <f>IF(Request!$K140="IC of Above",0,Request!Q140+IF(Request!$K141="IC of Above",Request!Q141,0))</f>
        <v>0</v>
      </c>
      <c r="G116" s="4">
        <f>IF(Request!$K140="IC of Above",0,Request!R140+IF(Request!$K141="IC of Above",Request!R141,0))</f>
        <v>0</v>
      </c>
      <c r="H116" s="4">
        <f t="shared" si="23"/>
        <v>0</v>
      </c>
    </row>
    <row r="117" spans="1:8" x14ac:dyDescent="0.15">
      <c r="A117" s="40">
        <f>Request!B141</f>
        <v>0</v>
      </c>
      <c r="B117" s="4" t="str">
        <f>IF(Request!K141="non-UC","No","Yes")</f>
        <v>Yes</v>
      </c>
      <c r="C117" s="4">
        <f>IF(Request!$K141="IC of Above",0,Request!N141+IF(Request!$K142="IC of Above",Request!N142,0))</f>
        <v>0</v>
      </c>
      <c r="D117" s="4">
        <f>IF(Request!$K141="IC of Above",0,Request!O141+IF(Request!$K142="IC of Above",Request!O142,0))</f>
        <v>0</v>
      </c>
      <c r="E117" s="4">
        <f>IF(Request!$K141="IC of Above",0,Request!P141+IF(Request!$K142="IC of Above",Request!P142,0))</f>
        <v>0</v>
      </c>
      <c r="F117" s="4">
        <f>IF(Request!$K141="IC of Above",0,Request!Q141+IF(Request!$K142="IC of Above",Request!Q142,0))</f>
        <v>0</v>
      </c>
      <c r="G117" s="4">
        <f>IF(Request!$K141="IC of Above",0,Request!R141+IF(Request!$K142="IC of Above",Request!R142,0))</f>
        <v>0</v>
      </c>
      <c r="H117" s="4">
        <f t="shared" si="23"/>
        <v>0</v>
      </c>
    </row>
    <row r="118" spans="1:8" x14ac:dyDescent="0.15">
      <c r="A118" s="40">
        <f>Request!B142</f>
        <v>0</v>
      </c>
      <c r="B118" s="4" t="str">
        <f>IF(Request!K142="non-UC","No","Yes")</f>
        <v>Yes</v>
      </c>
      <c r="C118" s="4">
        <f>IF(Request!$K142="IC of Above",0,Request!N142+IF(Request!$K143="IC of Above",Request!N143,0))</f>
        <v>0</v>
      </c>
      <c r="D118" s="4">
        <f>IF(Request!$K142="IC of Above",0,Request!O142+IF(Request!$K143="IC of Above",Request!O143,0))</f>
        <v>0</v>
      </c>
      <c r="E118" s="4">
        <f>IF(Request!$K142="IC of Above",0,Request!P142+IF(Request!$K143="IC of Above",Request!P143,0))</f>
        <v>0</v>
      </c>
      <c r="F118" s="4">
        <f>IF(Request!$K142="IC of Above",0,Request!Q142+IF(Request!$K143="IC of Above",Request!Q143,0))</f>
        <v>0</v>
      </c>
      <c r="G118" s="4">
        <f>IF(Request!$K142="IC of Above",0,Request!R142+IF(Request!$K143="IC of Above",Request!R143,0))</f>
        <v>0</v>
      </c>
      <c r="H118" s="4">
        <f t="shared" si="23"/>
        <v>0</v>
      </c>
    </row>
    <row r="120" spans="1:8" x14ac:dyDescent="0.15">
      <c r="A120" s="9" t="s">
        <v>109</v>
      </c>
      <c r="B120" s="4" t="s">
        <v>107</v>
      </c>
      <c r="C120" s="9" t="s">
        <v>8</v>
      </c>
      <c r="D120" s="9" t="s">
        <v>9</v>
      </c>
      <c r="E120" s="9" t="s">
        <v>10</v>
      </c>
      <c r="F120" s="9" t="s">
        <v>23</v>
      </c>
      <c r="G120" s="9" t="s">
        <v>11</v>
      </c>
      <c r="H120" s="9" t="s">
        <v>12</v>
      </c>
    </row>
    <row r="121" spans="1:8" x14ac:dyDescent="0.15">
      <c r="A121" s="40">
        <f>Request!B146</f>
        <v>0</v>
      </c>
      <c r="B121" s="4" t="str">
        <f>IF(Request!K128="non-UC","No","Yes")</f>
        <v>Yes</v>
      </c>
      <c r="C121" s="4">
        <f>IF(B104="Yes",0,(IF(C104&gt;25000,25000,C104)))</f>
        <v>0</v>
      </c>
      <c r="D121" s="4">
        <f t="shared" ref="D121:D135" si="24">IF(B121="Yes",0,IF(C104&gt;=25000,0,IF(C104+D104&gt;=25000,25000-C104,D104)))</f>
        <v>0</v>
      </c>
      <c r="E121" s="4">
        <f t="shared" ref="E121:E135" si="25">IF(B121="Yes",0,IF((C104+D104)&gt;=25000,0,IF((C104+D104+E104)&gt;=25000,25000-C104-D104,E104)))</f>
        <v>0</v>
      </c>
      <c r="F121" s="4">
        <f t="shared" ref="F121:F135" si="26">IF(B121="Yes",0,IF((C104+D104+E104)&gt;=25000,0,IF((C104+D104+E104+F104)&gt;=25000,25000-C104-D104-E104,F104)))</f>
        <v>0</v>
      </c>
      <c r="G121" s="4">
        <f t="shared" ref="G121:G135" si="27">IF(B121="Yes",0,IF((C104+D104+E104+F104)&gt;=25000,0,IF((C104+D104+E104+F104+G104)&gt;=25000,25000-C104-D104-E104-F104,G104)))</f>
        <v>0</v>
      </c>
      <c r="H121" s="4">
        <f t="shared" ref="H121:H136" si="28">SUM(C121:G121)</f>
        <v>0</v>
      </c>
    </row>
    <row r="122" spans="1:8" x14ac:dyDescent="0.15">
      <c r="A122" s="40" t="str">
        <f>Request!B147</f>
        <v>example: WPRN clinic costs</v>
      </c>
      <c r="B122" s="4" t="str">
        <f>IF(Request!K129="non-UC","No","Yes")</f>
        <v>Yes</v>
      </c>
      <c r="C122" s="4">
        <f>IF(B105="Yes",0,(IF(C105&gt;25000,25000,C105)))</f>
        <v>0</v>
      </c>
      <c r="D122" s="4">
        <f t="shared" si="24"/>
        <v>0</v>
      </c>
      <c r="E122" s="4">
        <f t="shared" si="25"/>
        <v>0</v>
      </c>
      <c r="F122" s="4">
        <f t="shared" si="26"/>
        <v>0</v>
      </c>
      <c r="G122" s="4">
        <f t="shared" si="27"/>
        <v>0</v>
      </c>
      <c r="H122" s="4">
        <f t="shared" si="28"/>
        <v>0</v>
      </c>
    </row>
    <row r="123" spans="1:8" x14ac:dyDescent="0.15">
      <c r="A123" s="40">
        <f>Request!B148</f>
        <v>0</v>
      </c>
      <c r="B123" s="4" t="str">
        <f>IF(Request!K130="non-UC","No","Yes")</f>
        <v>Yes</v>
      </c>
      <c r="C123" s="4">
        <f t="shared" ref="C123:C135" si="29">IF(B106="Yes",0,(IF(C106&gt;25000,25000,C106)))</f>
        <v>0</v>
      </c>
      <c r="D123" s="4">
        <f t="shared" si="24"/>
        <v>0</v>
      </c>
      <c r="E123" s="4">
        <f t="shared" si="25"/>
        <v>0</v>
      </c>
      <c r="F123" s="4">
        <f t="shared" si="26"/>
        <v>0</v>
      </c>
      <c r="G123" s="4">
        <f t="shared" si="27"/>
        <v>0</v>
      </c>
      <c r="H123" s="4">
        <f t="shared" si="28"/>
        <v>0</v>
      </c>
    </row>
    <row r="124" spans="1:8" x14ac:dyDescent="0.15">
      <c r="A124" s="40">
        <f>Request!B150</f>
        <v>0</v>
      </c>
      <c r="B124" s="4" t="str">
        <f>IF(Request!K131="non-UC","No","Yes")</f>
        <v>Yes</v>
      </c>
      <c r="C124" s="4">
        <f t="shared" si="29"/>
        <v>0</v>
      </c>
      <c r="D124" s="4">
        <f t="shared" si="24"/>
        <v>0</v>
      </c>
      <c r="E124" s="4">
        <f t="shared" si="25"/>
        <v>0</v>
      </c>
      <c r="F124" s="4">
        <f t="shared" si="26"/>
        <v>0</v>
      </c>
      <c r="G124" s="4">
        <f t="shared" si="27"/>
        <v>0</v>
      </c>
      <c r="H124" s="4">
        <f t="shared" si="28"/>
        <v>0</v>
      </c>
    </row>
    <row r="125" spans="1:8" x14ac:dyDescent="0.15">
      <c r="A125" s="40">
        <f>Request!B151</f>
        <v>0</v>
      </c>
      <c r="B125" s="4" t="str">
        <f>IF(Request!K132="non-UC","No","Yes")</f>
        <v>Yes</v>
      </c>
      <c r="C125" s="4">
        <f t="shared" si="29"/>
        <v>0</v>
      </c>
      <c r="D125" s="4">
        <f t="shared" si="24"/>
        <v>0</v>
      </c>
      <c r="E125" s="4">
        <f t="shared" si="25"/>
        <v>0</v>
      </c>
      <c r="F125" s="4">
        <f t="shared" si="26"/>
        <v>0</v>
      </c>
      <c r="G125" s="4">
        <f t="shared" si="27"/>
        <v>0</v>
      </c>
      <c r="H125" s="4">
        <f t="shared" si="28"/>
        <v>0</v>
      </c>
    </row>
    <row r="126" spans="1:8" x14ac:dyDescent="0.15">
      <c r="A126" s="40">
        <f>Request!B152</f>
        <v>0</v>
      </c>
      <c r="B126" s="4" t="str">
        <f>IF(Request!K133="non-UC","No","Yes")</f>
        <v>Yes</v>
      </c>
      <c r="C126" s="4">
        <f t="shared" si="29"/>
        <v>0</v>
      </c>
      <c r="D126" s="4">
        <f t="shared" si="24"/>
        <v>0</v>
      </c>
      <c r="E126" s="4">
        <f t="shared" si="25"/>
        <v>0</v>
      </c>
      <c r="F126" s="4">
        <f t="shared" si="26"/>
        <v>0</v>
      </c>
      <c r="G126" s="4">
        <f t="shared" si="27"/>
        <v>0</v>
      </c>
      <c r="H126" s="4">
        <f t="shared" si="28"/>
        <v>0</v>
      </c>
    </row>
    <row r="127" spans="1:8" x14ac:dyDescent="0.15">
      <c r="A127" s="40" t="e">
        <f>Request!#REF!</f>
        <v>#REF!</v>
      </c>
      <c r="B127" s="4" t="str">
        <f>IF(Request!K134="non-UC","No","Yes")</f>
        <v>Yes</v>
      </c>
      <c r="C127" s="4">
        <f t="shared" si="29"/>
        <v>0</v>
      </c>
      <c r="D127" s="4">
        <f t="shared" si="24"/>
        <v>0</v>
      </c>
      <c r="E127" s="4">
        <f t="shared" si="25"/>
        <v>0</v>
      </c>
      <c r="F127" s="4">
        <f t="shared" si="26"/>
        <v>0</v>
      </c>
      <c r="G127" s="4">
        <f t="shared" si="27"/>
        <v>0</v>
      </c>
      <c r="H127" s="4">
        <f t="shared" si="28"/>
        <v>0</v>
      </c>
    </row>
    <row r="128" spans="1:8" x14ac:dyDescent="0.15">
      <c r="A128" s="40" t="e">
        <f>Request!#REF!</f>
        <v>#REF!</v>
      </c>
      <c r="B128" s="4" t="str">
        <f>IF(Request!K135="non-UC","No","Yes")</f>
        <v>Yes</v>
      </c>
      <c r="C128" s="4">
        <f t="shared" si="29"/>
        <v>0</v>
      </c>
      <c r="D128" s="4">
        <f t="shared" si="24"/>
        <v>0</v>
      </c>
      <c r="E128" s="4">
        <f t="shared" si="25"/>
        <v>0</v>
      </c>
      <c r="F128" s="4">
        <f t="shared" si="26"/>
        <v>0</v>
      </c>
      <c r="G128" s="4">
        <f t="shared" si="27"/>
        <v>0</v>
      </c>
      <c r="H128" s="4">
        <f t="shared" si="28"/>
        <v>0</v>
      </c>
    </row>
    <row r="129" spans="1:8" x14ac:dyDescent="0.15">
      <c r="A129" s="40" t="e">
        <f>Request!#REF!</f>
        <v>#REF!</v>
      </c>
      <c r="B129" s="4" t="str">
        <f>IF(Request!K136="non-UC","No","Yes")</f>
        <v>Yes</v>
      </c>
      <c r="C129" s="4">
        <f t="shared" si="29"/>
        <v>0</v>
      </c>
      <c r="D129" s="4">
        <f t="shared" si="24"/>
        <v>0</v>
      </c>
      <c r="E129" s="4">
        <f t="shared" si="25"/>
        <v>0</v>
      </c>
      <c r="F129" s="4">
        <f t="shared" si="26"/>
        <v>0</v>
      </c>
      <c r="G129" s="4">
        <f t="shared" si="27"/>
        <v>0</v>
      </c>
      <c r="H129" s="4">
        <f t="shared" si="28"/>
        <v>0</v>
      </c>
    </row>
    <row r="130" spans="1:8" x14ac:dyDescent="0.15">
      <c r="A130" s="40" t="e">
        <f>Request!#REF!</f>
        <v>#REF!</v>
      </c>
      <c r="B130" s="4" t="str">
        <f>IF(Request!K137="non-UC","No","Yes")</f>
        <v>Yes</v>
      </c>
      <c r="C130" s="4">
        <f t="shared" si="29"/>
        <v>0</v>
      </c>
      <c r="D130" s="4">
        <f t="shared" si="24"/>
        <v>0</v>
      </c>
      <c r="E130" s="4">
        <f t="shared" si="25"/>
        <v>0</v>
      </c>
      <c r="F130" s="4">
        <f t="shared" si="26"/>
        <v>0</v>
      </c>
      <c r="G130" s="4">
        <f t="shared" si="27"/>
        <v>0</v>
      </c>
      <c r="H130" s="4">
        <f t="shared" si="28"/>
        <v>0</v>
      </c>
    </row>
    <row r="131" spans="1:8" x14ac:dyDescent="0.15">
      <c r="A131" s="40">
        <f>Request!B153</f>
        <v>0</v>
      </c>
      <c r="B131" s="4" t="str">
        <f>IF(Request!K138="non-UC","No","Yes")</f>
        <v>Yes</v>
      </c>
      <c r="C131" s="4">
        <f t="shared" si="29"/>
        <v>0</v>
      </c>
      <c r="D131" s="4">
        <f t="shared" si="24"/>
        <v>0</v>
      </c>
      <c r="E131" s="4">
        <f t="shared" si="25"/>
        <v>0</v>
      </c>
      <c r="F131" s="4">
        <f t="shared" si="26"/>
        <v>0</v>
      </c>
      <c r="G131" s="4">
        <f t="shared" si="27"/>
        <v>0</v>
      </c>
      <c r="H131" s="4">
        <f t="shared" si="28"/>
        <v>0</v>
      </c>
    </row>
    <row r="132" spans="1:8" x14ac:dyDescent="0.15">
      <c r="A132" s="40">
        <f>Request!B154</f>
        <v>0</v>
      </c>
      <c r="B132" s="4" t="str">
        <f>IF(Request!K139="non-UC","No","Yes")</f>
        <v>Yes</v>
      </c>
      <c r="C132" s="4">
        <f t="shared" si="29"/>
        <v>0</v>
      </c>
      <c r="D132" s="4">
        <f t="shared" si="24"/>
        <v>0</v>
      </c>
      <c r="E132" s="4">
        <f t="shared" si="25"/>
        <v>0</v>
      </c>
      <c r="F132" s="4">
        <f t="shared" si="26"/>
        <v>0</v>
      </c>
      <c r="G132" s="4">
        <f t="shared" si="27"/>
        <v>0</v>
      </c>
      <c r="H132" s="4">
        <f t="shared" si="28"/>
        <v>0</v>
      </c>
    </row>
    <row r="133" spans="1:8" x14ac:dyDescent="0.15">
      <c r="A133" s="40">
        <f>Request!B155</f>
        <v>0</v>
      </c>
      <c r="B133" s="4" t="str">
        <f>IF(Request!K140="non-UC","No","Yes")</f>
        <v>Yes</v>
      </c>
      <c r="C133" s="4">
        <f t="shared" si="29"/>
        <v>0</v>
      </c>
      <c r="D133" s="4">
        <f t="shared" si="24"/>
        <v>0</v>
      </c>
      <c r="E133" s="4">
        <f t="shared" si="25"/>
        <v>0</v>
      </c>
      <c r="F133" s="4">
        <f t="shared" si="26"/>
        <v>0</v>
      </c>
      <c r="G133" s="4">
        <f t="shared" si="27"/>
        <v>0</v>
      </c>
      <c r="H133" s="4">
        <f t="shared" si="28"/>
        <v>0</v>
      </c>
    </row>
    <row r="134" spans="1:8" x14ac:dyDescent="0.15">
      <c r="A134" s="40">
        <f>Request!B156</f>
        <v>0</v>
      </c>
      <c r="B134" s="4" t="str">
        <f>IF(Request!K141="non-UC","No","Yes")</f>
        <v>Yes</v>
      </c>
      <c r="C134" s="4">
        <f t="shared" si="29"/>
        <v>0</v>
      </c>
      <c r="D134" s="4">
        <f t="shared" si="24"/>
        <v>0</v>
      </c>
      <c r="E134" s="4">
        <f t="shared" si="25"/>
        <v>0</v>
      </c>
      <c r="F134" s="4">
        <f t="shared" si="26"/>
        <v>0</v>
      </c>
      <c r="G134" s="4">
        <f t="shared" si="27"/>
        <v>0</v>
      </c>
      <c r="H134" s="4">
        <f t="shared" si="28"/>
        <v>0</v>
      </c>
    </row>
    <row r="135" spans="1:8" x14ac:dyDescent="0.15">
      <c r="A135" s="40">
        <f>Request!B157</f>
        <v>0</v>
      </c>
      <c r="B135" s="4" t="str">
        <f>IF(Request!K142="non-UC","No","Yes")</f>
        <v>Yes</v>
      </c>
      <c r="C135" s="4">
        <f t="shared" si="29"/>
        <v>0</v>
      </c>
      <c r="D135" s="4">
        <f t="shared" si="24"/>
        <v>0</v>
      </c>
      <c r="E135" s="4">
        <f t="shared" si="25"/>
        <v>0</v>
      </c>
      <c r="F135" s="4">
        <f t="shared" si="26"/>
        <v>0</v>
      </c>
      <c r="G135" s="4">
        <f t="shared" si="27"/>
        <v>0</v>
      </c>
      <c r="H135" s="4">
        <f t="shared" si="28"/>
        <v>0</v>
      </c>
    </row>
    <row r="136" spans="1:8" x14ac:dyDescent="0.15">
      <c r="A136" s="231" t="s">
        <v>108</v>
      </c>
      <c r="B136" s="231"/>
      <c r="C136" s="41">
        <f>SUM(C121:C135)</f>
        <v>0</v>
      </c>
      <c r="D136" s="41">
        <f>SUM(D121:D135)</f>
        <v>0</v>
      </c>
      <c r="E136" s="41">
        <f t="shared" ref="E136:G136" si="30">SUM(E121:E135)</f>
        <v>0</v>
      </c>
      <c r="F136" s="41">
        <f t="shared" si="30"/>
        <v>0</v>
      </c>
      <c r="G136" s="41">
        <f t="shared" si="30"/>
        <v>0</v>
      </c>
      <c r="H136" s="41">
        <f t="shared" si="28"/>
        <v>0</v>
      </c>
    </row>
    <row r="138" spans="1:8" x14ac:dyDescent="0.15">
      <c r="A138" s="9" t="s">
        <v>110</v>
      </c>
      <c r="B138" s="4" t="s">
        <v>107</v>
      </c>
      <c r="C138" s="9" t="s">
        <v>8</v>
      </c>
      <c r="D138" s="9" t="s">
        <v>9</v>
      </c>
      <c r="E138" s="9" t="s">
        <v>10</v>
      </c>
      <c r="F138" s="9" t="s">
        <v>23</v>
      </c>
      <c r="G138" s="9" t="s">
        <v>11</v>
      </c>
      <c r="H138" s="9" t="s">
        <v>12</v>
      </c>
    </row>
    <row r="139" spans="1:8" x14ac:dyDescent="0.15">
      <c r="A139" s="40">
        <f>Request!B161</f>
        <v>0</v>
      </c>
      <c r="B139" s="4" t="str">
        <f>IF(Request!K128="non-UC","No","Yes")</f>
        <v>Yes</v>
      </c>
      <c r="C139" s="4">
        <f>IF($B139="Yes",0,C104)</f>
        <v>0</v>
      </c>
      <c r="D139" s="4">
        <f t="shared" ref="D139:G139" si="31">IF($B139="Yes",0,D104)</f>
        <v>0</v>
      </c>
      <c r="E139" s="4">
        <f t="shared" si="31"/>
        <v>0</v>
      </c>
      <c r="F139" s="4">
        <f t="shared" si="31"/>
        <v>0</v>
      </c>
      <c r="G139" s="4">
        <f t="shared" si="31"/>
        <v>0</v>
      </c>
      <c r="H139" s="4">
        <f t="shared" ref="H139:H154" si="32">SUM(C139:G139)</f>
        <v>0</v>
      </c>
    </row>
    <row r="140" spans="1:8" x14ac:dyDescent="0.15">
      <c r="A140" s="40">
        <f>Request!B171</f>
        <v>0</v>
      </c>
      <c r="B140" s="4" t="str">
        <f>IF(Request!K129="non-UC","No","Yes")</f>
        <v>Yes</v>
      </c>
      <c r="C140" s="4">
        <f t="shared" ref="C140:G153" si="33">IF($B140="Yes",0,C105)</f>
        <v>0</v>
      </c>
      <c r="D140" s="4">
        <f t="shared" si="33"/>
        <v>0</v>
      </c>
      <c r="E140" s="4">
        <f t="shared" si="33"/>
        <v>0</v>
      </c>
      <c r="F140" s="4">
        <f t="shared" si="33"/>
        <v>0</v>
      </c>
      <c r="G140" s="4">
        <f t="shared" si="33"/>
        <v>0</v>
      </c>
      <c r="H140" s="4">
        <f t="shared" si="32"/>
        <v>0</v>
      </c>
    </row>
    <row r="141" spans="1:8" x14ac:dyDescent="0.15">
      <c r="A141" s="40">
        <f>Request!B172</f>
        <v>0</v>
      </c>
      <c r="B141" s="4" t="str">
        <f>IF(Request!K130="non-UC","No","Yes")</f>
        <v>Yes</v>
      </c>
      <c r="C141" s="4">
        <f t="shared" si="33"/>
        <v>0</v>
      </c>
      <c r="D141" s="4">
        <f t="shared" si="33"/>
        <v>0</v>
      </c>
      <c r="E141" s="4">
        <f t="shared" si="33"/>
        <v>0</v>
      </c>
      <c r="F141" s="4">
        <f t="shared" si="33"/>
        <v>0</v>
      </c>
      <c r="G141" s="4">
        <f t="shared" si="33"/>
        <v>0</v>
      </c>
      <c r="H141" s="4">
        <f t="shared" si="32"/>
        <v>0</v>
      </c>
    </row>
    <row r="142" spans="1:8" x14ac:dyDescent="0.15">
      <c r="A142" s="40">
        <f>Request!B173</f>
        <v>0</v>
      </c>
      <c r="B142" s="4" t="str">
        <f>IF(Request!K131="non-UC","No","Yes")</f>
        <v>Yes</v>
      </c>
      <c r="C142" s="4">
        <f t="shared" si="33"/>
        <v>0</v>
      </c>
      <c r="D142" s="4">
        <f t="shared" si="33"/>
        <v>0</v>
      </c>
      <c r="E142" s="4">
        <f t="shared" si="33"/>
        <v>0</v>
      </c>
      <c r="F142" s="4">
        <f t="shared" si="33"/>
        <v>0</v>
      </c>
      <c r="G142" s="4">
        <f t="shared" si="33"/>
        <v>0</v>
      </c>
      <c r="H142" s="4">
        <f t="shared" si="32"/>
        <v>0</v>
      </c>
    </row>
    <row r="143" spans="1:8" x14ac:dyDescent="0.15">
      <c r="A143" s="40">
        <f>Request!B174</f>
        <v>0</v>
      </c>
      <c r="B143" s="4" t="str">
        <f>IF(Request!K132="non-UC","No","Yes")</f>
        <v>Yes</v>
      </c>
      <c r="C143" s="4">
        <f t="shared" si="33"/>
        <v>0</v>
      </c>
      <c r="D143" s="4">
        <f t="shared" si="33"/>
        <v>0</v>
      </c>
      <c r="E143" s="4">
        <f t="shared" si="33"/>
        <v>0</v>
      </c>
      <c r="F143" s="4">
        <f t="shared" si="33"/>
        <v>0</v>
      </c>
      <c r="G143" s="4">
        <f t="shared" si="33"/>
        <v>0</v>
      </c>
      <c r="H143" s="4">
        <f t="shared" si="32"/>
        <v>0</v>
      </c>
    </row>
    <row r="144" spans="1:8" x14ac:dyDescent="0.15">
      <c r="A144" s="40">
        <f>Request!B175</f>
        <v>0</v>
      </c>
      <c r="B144" s="4" t="str">
        <f>IF(Request!K133="non-UC","No","Yes")</f>
        <v>Yes</v>
      </c>
      <c r="C144" s="4">
        <f t="shared" si="33"/>
        <v>0</v>
      </c>
      <c r="D144" s="4">
        <f t="shared" si="33"/>
        <v>0</v>
      </c>
      <c r="E144" s="4">
        <f t="shared" si="33"/>
        <v>0</v>
      </c>
      <c r="F144" s="4">
        <f t="shared" si="33"/>
        <v>0</v>
      </c>
      <c r="G144" s="4">
        <f t="shared" si="33"/>
        <v>0</v>
      </c>
      <c r="H144" s="4">
        <f t="shared" si="32"/>
        <v>0</v>
      </c>
    </row>
    <row r="145" spans="1:18" x14ac:dyDescent="0.15">
      <c r="A145" s="40">
        <f>Request!B176</f>
        <v>0</v>
      </c>
      <c r="B145" s="4" t="str">
        <f>IF(Request!K134="non-UC","No","Yes")</f>
        <v>Yes</v>
      </c>
      <c r="C145" s="4">
        <f t="shared" si="33"/>
        <v>0</v>
      </c>
      <c r="D145" s="4">
        <f t="shared" si="33"/>
        <v>0</v>
      </c>
      <c r="E145" s="4">
        <f t="shared" si="33"/>
        <v>0</v>
      </c>
      <c r="F145" s="4">
        <f t="shared" si="33"/>
        <v>0</v>
      </c>
      <c r="G145" s="4">
        <f t="shared" si="33"/>
        <v>0</v>
      </c>
      <c r="H145" s="4">
        <f t="shared" si="32"/>
        <v>0</v>
      </c>
    </row>
    <row r="146" spans="1:18" x14ac:dyDescent="0.15">
      <c r="A146" s="40">
        <f>Request!B177</f>
        <v>0</v>
      </c>
      <c r="B146" s="4" t="str">
        <f>IF(Request!K135="non-UC","No","Yes")</f>
        <v>Yes</v>
      </c>
      <c r="C146" s="4">
        <f t="shared" si="33"/>
        <v>0</v>
      </c>
      <c r="D146" s="4">
        <f t="shared" si="33"/>
        <v>0</v>
      </c>
      <c r="E146" s="4">
        <f t="shared" si="33"/>
        <v>0</v>
      </c>
      <c r="F146" s="4">
        <f t="shared" si="33"/>
        <v>0</v>
      </c>
      <c r="G146" s="4">
        <f t="shared" si="33"/>
        <v>0</v>
      </c>
      <c r="H146" s="4">
        <f t="shared" si="32"/>
        <v>0</v>
      </c>
    </row>
    <row r="147" spans="1:18" x14ac:dyDescent="0.15">
      <c r="A147" s="40">
        <f>Request!B178</f>
        <v>0</v>
      </c>
      <c r="B147" s="4" t="str">
        <f>IF(Request!K136="non-UC","No","Yes")</f>
        <v>Yes</v>
      </c>
      <c r="C147" s="4">
        <f t="shared" si="33"/>
        <v>0</v>
      </c>
      <c r="D147" s="4">
        <f t="shared" si="33"/>
        <v>0</v>
      </c>
      <c r="E147" s="4">
        <f t="shared" si="33"/>
        <v>0</v>
      </c>
      <c r="F147" s="4">
        <f t="shared" si="33"/>
        <v>0</v>
      </c>
      <c r="G147" s="4">
        <f t="shared" si="33"/>
        <v>0</v>
      </c>
      <c r="H147" s="4">
        <f t="shared" si="32"/>
        <v>0</v>
      </c>
    </row>
    <row r="148" spans="1:18" x14ac:dyDescent="0.15">
      <c r="A148" s="40">
        <f>Request!B179</f>
        <v>0</v>
      </c>
      <c r="B148" s="4" t="str">
        <f>IF(Request!K137="non-UC","No","Yes")</f>
        <v>Yes</v>
      </c>
      <c r="C148" s="4">
        <f t="shared" si="33"/>
        <v>0</v>
      </c>
      <c r="D148" s="4">
        <f t="shared" si="33"/>
        <v>0</v>
      </c>
      <c r="E148" s="4">
        <f t="shared" si="33"/>
        <v>0</v>
      </c>
      <c r="F148" s="4">
        <f t="shared" si="33"/>
        <v>0</v>
      </c>
      <c r="G148" s="4">
        <f t="shared" si="33"/>
        <v>0</v>
      </c>
      <c r="H148" s="4">
        <f t="shared" si="32"/>
        <v>0</v>
      </c>
    </row>
    <row r="149" spans="1:18" x14ac:dyDescent="0.15">
      <c r="A149" s="40">
        <f>Request!B180</f>
        <v>0</v>
      </c>
      <c r="B149" s="4" t="str">
        <f>IF(Request!K138="non-UC","No","Yes")</f>
        <v>Yes</v>
      </c>
      <c r="C149" s="4">
        <f t="shared" si="33"/>
        <v>0</v>
      </c>
      <c r="D149" s="4">
        <f t="shared" si="33"/>
        <v>0</v>
      </c>
      <c r="E149" s="4">
        <f t="shared" si="33"/>
        <v>0</v>
      </c>
      <c r="F149" s="4">
        <f t="shared" si="33"/>
        <v>0</v>
      </c>
      <c r="G149" s="4">
        <f t="shared" si="33"/>
        <v>0</v>
      </c>
      <c r="H149" s="4">
        <f t="shared" si="32"/>
        <v>0</v>
      </c>
    </row>
    <row r="150" spans="1:18" x14ac:dyDescent="0.15">
      <c r="A150" s="40">
        <f>Request!B181</f>
        <v>0</v>
      </c>
      <c r="B150" s="4" t="str">
        <f>IF(Request!K139="non-UC","No","Yes")</f>
        <v>Yes</v>
      </c>
      <c r="C150" s="4">
        <f t="shared" si="33"/>
        <v>0</v>
      </c>
      <c r="D150" s="4">
        <f t="shared" si="33"/>
        <v>0</v>
      </c>
      <c r="E150" s="4">
        <f t="shared" si="33"/>
        <v>0</v>
      </c>
      <c r="F150" s="4">
        <f t="shared" si="33"/>
        <v>0</v>
      </c>
      <c r="G150" s="4">
        <f t="shared" si="33"/>
        <v>0</v>
      </c>
      <c r="H150" s="4">
        <f t="shared" si="32"/>
        <v>0</v>
      </c>
    </row>
    <row r="151" spans="1:18" x14ac:dyDescent="0.15">
      <c r="A151" s="40">
        <f>Request!B182</f>
        <v>0</v>
      </c>
      <c r="B151" s="4" t="str">
        <f>IF(Request!K140="non-UC","No","Yes")</f>
        <v>Yes</v>
      </c>
      <c r="C151" s="4">
        <f t="shared" si="33"/>
        <v>0</v>
      </c>
      <c r="D151" s="4">
        <f t="shared" si="33"/>
        <v>0</v>
      </c>
      <c r="E151" s="4">
        <f t="shared" si="33"/>
        <v>0</v>
      </c>
      <c r="F151" s="4">
        <f t="shared" si="33"/>
        <v>0</v>
      </c>
      <c r="G151" s="4">
        <f t="shared" si="33"/>
        <v>0</v>
      </c>
      <c r="H151" s="4">
        <f t="shared" si="32"/>
        <v>0</v>
      </c>
    </row>
    <row r="152" spans="1:18" x14ac:dyDescent="0.15">
      <c r="A152" s="40">
        <f>Request!B183</f>
        <v>0</v>
      </c>
      <c r="B152" s="4" t="str">
        <f>IF(Request!K141="non-UC","No","Yes")</f>
        <v>Yes</v>
      </c>
      <c r="C152" s="4">
        <f t="shared" si="33"/>
        <v>0</v>
      </c>
      <c r="D152" s="4">
        <f t="shared" si="33"/>
        <v>0</v>
      </c>
      <c r="E152" s="4">
        <f t="shared" si="33"/>
        <v>0</v>
      </c>
      <c r="F152" s="4">
        <f t="shared" si="33"/>
        <v>0</v>
      </c>
      <c r="G152" s="4">
        <f t="shared" si="33"/>
        <v>0</v>
      </c>
      <c r="H152" s="4">
        <f t="shared" si="32"/>
        <v>0</v>
      </c>
    </row>
    <row r="153" spans="1:18" x14ac:dyDescent="0.15">
      <c r="A153" s="40">
        <f>Request!B184</f>
        <v>0</v>
      </c>
      <c r="B153" s="4" t="str">
        <f>IF(Request!K142="non-UC","No","Yes")</f>
        <v>Yes</v>
      </c>
      <c r="C153" s="4">
        <f t="shared" si="33"/>
        <v>0</v>
      </c>
      <c r="D153" s="4">
        <f t="shared" si="33"/>
        <v>0</v>
      </c>
      <c r="E153" s="4">
        <f t="shared" si="33"/>
        <v>0</v>
      </c>
      <c r="F153" s="4">
        <f t="shared" si="33"/>
        <v>0</v>
      </c>
      <c r="G153" s="4">
        <f t="shared" si="33"/>
        <v>0</v>
      </c>
      <c r="H153" s="4">
        <f t="shared" si="32"/>
        <v>0</v>
      </c>
    </row>
    <row r="154" spans="1:18" x14ac:dyDescent="0.15">
      <c r="A154" s="231" t="s">
        <v>108</v>
      </c>
      <c r="B154" s="231"/>
      <c r="C154" s="41">
        <f>SUM(C139:C153)</f>
        <v>0</v>
      </c>
      <c r="D154" s="41">
        <f>SUM(D139:D153)</f>
        <v>0</v>
      </c>
      <c r="E154" s="41">
        <f t="shared" ref="E154" si="34">SUM(E139:E153)</f>
        <v>0</v>
      </c>
      <c r="F154" s="41">
        <f t="shared" ref="F154" si="35">SUM(F139:F153)</f>
        <v>0</v>
      </c>
      <c r="G154" s="41">
        <f t="shared" ref="G154" si="36">SUM(G139:G153)</f>
        <v>0</v>
      </c>
      <c r="H154" s="41">
        <f t="shared" si="32"/>
        <v>0</v>
      </c>
    </row>
    <row r="155" spans="1:18" x14ac:dyDescent="0.15">
      <c r="A155" s="43"/>
      <c r="B155" s="43"/>
      <c r="C155" s="44"/>
      <c r="D155" s="44"/>
      <c r="E155" s="44"/>
      <c r="F155" s="44"/>
      <c r="G155" s="44"/>
      <c r="H155" s="44"/>
    </row>
    <row r="156" spans="1:18" x14ac:dyDescent="0.15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15">
      <c r="A157" s="45" t="s">
        <v>81</v>
      </c>
      <c r="B157" s="4" t="s">
        <v>96</v>
      </c>
      <c r="C157" s="41">
        <f>Request!N68+Request!N93+Request!N125+Request!N153+SUM(Request!N172:N176)+SUM(Request!N187:N201)+Worksheet!C136</f>
        <v>38472</v>
      </c>
      <c r="D157" s="41">
        <f>IF(D4="",0,(Request!O68+Request!O93+Request!O125+Request!O153+SUM(Request!O172:O176)+SUM(Request!O187:O201)+Worksheet!D136))</f>
        <v>0</v>
      </c>
      <c r="E157" s="41">
        <f>IF(E4="",0,(Request!P68+Request!P93+Request!P125+Request!P153+SUM(Request!P172:P176)+SUM(Request!P187:P201)+Worksheet!E136))</f>
        <v>0</v>
      </c>
      <c r="F157" s="41">
        <f>IF(F4="",0,(Request!Q68+Request!Q93+Request!Q125+Request!Q153+SUM(Request!Q172:Q176)+SUM(Request!Q187:Q201)+Worksheet!F136))</f>
        <v>0</v>
      </c>
      <c r="G157" s="41">
        <f>IF(G4="",0,(Request!R68+Request!R93+Request!R125+Request!R153+SUM(Request!R172:R176)+SUM(Request!R187:R201)+Worksheet!G136))</f>
        <v>0</v>
      </c>
      <c r="H157" s="42">
        <f>SUM(C157:G157)</f>
        <v>38472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15">
      <c r="A158" s="46"/>
      <c r="B158" s="4" t="s">
        <v>111</v>
      </c>
      <c r="C158" s="42">
        <f>Request!N204-Request!N143+Worksheet!C154</f>
        <v>38472</v>
      </c>
      <c r="D158" s="42">
        <f>IF(D4="",0,(Request!O204-Request!O143+Worksheet!D154))</f>
        <v>0</v>
      </c>
      <c r="E158" s="42">
        <f>IF(E4="",0,(Request!P204-Request!P143+Worksheet!E154))</f>
        <v>0</v>
      </c>
      <c r="F158" s="42">
        <f>IF(F4="",0,(Request!Q204-Request!Q143+Worksheet!F154))</f>
        <v>0</v>
      </c>
      <c r="G158" s="42">
        <f>IF(G4="",0,(Request!R204-Request!R143+Worksheet!G154))</f>
        <v>0</v>
      </c>
      <c r="H158" s="42">
        <f>SUM(C158:G158)</f>
        <v>38472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15">
      <c r="A159" s="47"/>
      <c r="B159" s="4" t="s">
        <v>112</v>
      </c>
      <c r="C159" s="41">
        <f>ROUND((Request!N204-Request!N143+Worksheet!C154)/(1-Request!$L$207),0)</f>
        <v>38472</v>
      </c>
      <c r="D159" s="41">
        <f>IF(D4="",0,(ROUND((Request!O204-Request!O143+Worksheet!D154)/(1-Request!$L$207),0)))</f>
        <v>0</v>
      </c>
      <c r="E159" s="41">
        <f>IF(E4="",0,(ROUND((Request!P204-Request!P143+Worksheet!E154)/(1-Request!$L$207),0)))</f>
        <v>0</v>
      </c>
      <c r="F159" s="41">
        <f>IF(F4="",0,(ROUND((Request!Q204-Request!Q143+Worksheet!F154)/(1-Request!$L$207),0)))</f>
        <v>0</v>
      </c>
      <c r="G159" s="41">
        <f>IF(G4="",0,(ROUND((Request!R204-Request!R143+Worksheet!G154)/(1-Request!$L$207),0)))</f>
        <v>0</v>
      </c>
      <c r="H159" s="42">
        <f>SUM(C159:G159)</f>
        <v>38472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15">
      <c r="B160" s="1" t="s">
        <v>179</v>
      </c>
      <c r="C160" s="170">
        <f>SUM(Request!N172:N176)</f>
        <v>0</v>
      </c>
      <c r="D160" s="170">
        <f>SUM(Request!O172:O176)</f>
        <v>0</v>
      </c>
      <c r="E160" s="170">
        <f>SUM(Request!P172:P176)</f>
        <v>0</v>
      </c>
      <c r="F160" s="170">
        <f>SUM(Request!Q172:Q176)</f>
        <v>0</v>
      </c>
      <c r="G160" s="170">
        <f>SUM(Request!R172:R176)</f>
        <v>0</v>
      </c>
      <c r="H160" s="170">
        <f>SUM(C160:G160)</f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15">
      <c r="A161" s="1" t="s">
        <v>118</v>
      </c>
      <c r="B161" s="1" t="str">
        <f>Request!D159</f>
        <v>Resident</v>
      </c>
      <c r="C161" s="1" t="s">
        <v>12</v>
      </c>
      <c r="D161" s="1" t="s">
        <v>156</v>
      </c>
      <c r="E161" s="3" t="s">
        <v>45</v>
      </c>
      <c r="F161" s="3" t="s">
        <v>46</v>
      </c>
      <c r="G161" s="3" t="s">
        <v>119</v>
      </c>
      <c r="H161" s="3" t="s">
        <v>120</v>
      </c>
      <c r="I161" s="68" t="s">
        <v>121</v>
      </c>
      <c r="J161" s="68" t="s">
        <v>122</v>
      </c>
      <c r="K161" s="117" t="s">
        <v>147</v>
      </c>
      <c r="L161" s="117" t="s">
        <v>148</v>
      </c>
      <c r="M161" s="117" t="s">
        <v>149</v>
      </c>
      <c r="N161" s="117" t="s">
        <v>150</v>
      </c>
      <c r="O161" s="117" t="s">
        <v>151</v>
      </c>
      <c r="P161" s="23"/>
      <c r="Q161" s="23"/>
      <c r="R161" s="23"/>
    </row>
    <row r="162" spans="1:18" x14ac:dyDescent="0.15">
      <c r="A162" s="4">
        <f>Request!A159</f>
        <v>0</v>
      </c>
      <c r="B162" s="26">
        <f>Request!F159</f>
        <v>0.1</v>
      </c>
      <c r="C162" s="41">
        <f>Request!G159</f>
        <v>17587</v>
      </c>
      <c r="D162" s="41">
        <f>IF(Request!$D$158="Use Buydown",C162*0.75,C162)</f>
        <v>13190.25</v>
      </c>
      <c r="E162" s="41">
        <f>IF(Request!$F$158="AY",ROUND(D162*((1+B162)^$B$24),0),D162)</f>
        <v>13190.25</v>
      </c>
      <c r="F162" s="41">
        <f>IF(Request!$F$158="AY",ROUND(D162*((1+$B162)^($B$24+1)),0),ROUND(E162*(1+B162),0))</f>
        <v>14509</v>
      </c>
      <c r="G162" s="41">
        <f>IF(Request!$F$158="AY",ROUND(D162*((1+$B162)^($B$24+2)),0),ROUND(F162*(1+$B162),0))</f>
        <v>15960</v>
      </c>
      <c r="H162" s="41">
        <f>IF(Request!$F$158="AY",ROUND(D162*((1+$B162)^($B$24+3)),0),ROUND(G162*(1+$B162),0))</f>
        <v>17556</v>
      </c>
      <c r="I162" s="41">
        <f>IF(Request!$F$158="AY",ROUND(D162*((1+$B162)^($B$24+4)),0),ROUND(H162*(1+$B162),0))</f>
        <v>19312</v>
      </c>
      <c r="J162" s="41">
        <f>IF(Request!$F$158="AY",ROUND(D162*((1+$B162)^($B$24+5)),0),ROUND(I162*(1+$B162),0))</f>
        <v>21243</v>
      </c>
      <c r="K162" s="107">
        <f>IF(C$5=0,0,IF(Request!$F$158="AY",(E162*C$27+F162*C$28)/C$29,Worksheet!E162))</f>
        <v>13190.25</v>
      </c>
      <c r="L162" s="107">
        <f>IF(D$5=0,0,IF(Request!$F$158="AY",(F162*D$27+G162*D$28)/D$29,Worksheet!F162))</f>
        <v>0</v>
      </c>
      <c r="M162" s="107">
        <f>IF(E$5=0,0,IF(Request!$F$158="AY",(G162*E$27+H162*E$28)/E$29,Worksheet!G162))</f>
        <v>0</v>
      </c>
      <c r="N162" s="107">
        <f>IF(F$5=0,0,IF(Request!$F$158="AY",(H162*F$27+I162*F$28)/F$29,Worksheet!H162))</f>
        <v>0</v>
      </c>
      <c r="O162" s="107">
        <f>IF(G$5=0,0,IF(Request!$F$158="AY",(I162*G$27+J162*G$28)/G$29,Worksheet!I162))</f>
        <v>0</v>
      </c>
      <c r="P162" s="23"/>
      <c r="Q162" s="23"/>
      <c r="R162" s="23"/>
    </row>
    <row r="163" spans="1:18" x14ac:dyDescent="0.15">
      <c r="A163" s="4">
        <f>Request!A160</f>
        <v>0</v>
      </c>
      <c r="B163" s="26">
        <f>Request!F160</f>
        <v>0.1</v>
      </c>
      <c r="C163" s="41">
        <f>Request!G160</f>
        <v>17587</v>
      </c>
      <c r="D163" s="41">
        <f>IF(Request!$D$158="Use Buydown",C163*0.75,C163)</f>
        <v>13190.25</v>
      </c>
      <c r="E163" s="41">
        <f>IF(Request!$F$158="AY",ROUND(D163*((1+B163)^$B$24),0),D163)</f>
        <v>13190.25</v>
      </c>
      <c r="F163" s="41">
        <f>IF(Request!$F$158="AY",ROUND(D163*((1+$B163)^($B$24+1)),0),ROUND(E163*(1+B163),0))</f>
        <v>14509</v>
      </c>
      <c r="G163" s="41">
        <f>IF(Request!$F$158="AY",ROUND(D163*((1+$B163)^($B$24+2)),0),ROUND(F163*(1+$B163),0))</f>
        <v>15960</v>
      </c>
      <c r="H163" s="41">
        <f>IF(Request!$F$158="AY",ROUND(D163*((1+$B163)^($B$24+3)),0),ROUND(G163*(1+$B163),0))</f>
        <v>17556</v>
      </c>
      <c r="I163" s="41">
        <f>IF(Request!$F$158="AY",ROUND(D163*((1+$B163)^($B$24+4)),0),ROUND(H163*(1+$B163),0))</f>
        <v>19312</v>
      </c>
      <c r="J163" s="41">
        <f>IF(Request!$F$158="AY",ROUND(D163*((1+$B163)^($B$24+5)),0),ROUND(I163*(1+$B163),0))</f>
        <v>21243</v>
      </c>
      <c r="K163" s="107">
        <f>IF(C$5=0,0,IF(Request!$F$158="AY",(E163*C$27+F163*C$28)/C$29,Worksheet!E163))</f>
        <v>13190.25</v>
      </c>
      <c r="L163" s="107">
        <f>IF(D$5=0,0,IF(Request!$F$158="AY",(F163*D$27+G163*D$28)/D$29,Worksheet!F163))</f>
        <v>0</v>
      </c>
      <c r="M163" s="107">
        <f>IF(E$5=0,0,IF(Request!$F$158="AY",(G163*E$27+H163*E$28)/E$29,Worksheet!G163))</f>
        <v>0</v>
      </c>
      <c r="N163" s="107">
        <f>IF(F$5=0,0,IF(Request!$F$158="AY",(H163*F$27+I163*F$28)/F$29,Worksheet!H163))</f>
        <v>0</v>
      </c>
      <c r="O163" s="107">
        <f>IF(G$5=0,0,IF(Request!$F$158="AY",(I163*G$27+J163*G$28)/G$29,Worksheet!I163))</f>
        <v>0</v>
      </c>
      <c r="P163" s="23"/>
      <c r="Q163" s="23"/>
      <c r="R163" s="23"/>
    </row>
    <row r="164" spans="1:18" x14ac:dyDescent="0.15">
      <c r="A164" s="4">
        <f>Request!A161</f>
        <v>0</v>
      </c>
      <c r="B164" s="26">
        <f>Request!F161</f>
        <v>0.1</v>
      </c>
      <c r="C164" s="41">
        <f>Request!G161</f>
        <v>32689</v>
      </c>
      <c r="D164" s="41">
        <f>IF(Request!$D$158="Use Buydown",C164*0.75,C164)</f>
        <v>24516.75</v>
      </c>
      <c r="E164" s="41">
        <f>IF(Request!$F$158="AY",ROUND(D164*((1+B164)^$B$24),0),D164)</f>
        <v>24516.75</v>
      </c>
      <c r="F164" s="41">
        <f>IF(Request!$F$158="AY",ROUND(D164*((1+$B164)^($B$24+1)),0),ROUND(E164*(1+B164),0))</f>
        <v>26968</v>
      </c>
      <c r="G164" s="41">
        <f>IF(Request!$F$158="AY",ROUND(D164*((1+$B164)^($B$24+2)),0),ROUND(F164*(1+$B164),0))</f>
        <v>29665</v>
      </c>
      <c r="H164" s="41">
        <f>IF(Request!$F$158="AY",ROUND(D164*((1+$B164)^($B$24+3)),0),ROUND(G164*(1+$B164),0))</f>
        <v>32632</v>
      </c>
      <c r="I164" s="41">
        <f>IF(Request!$F$158="AY",ROUND(D164*((1+$B164)^($B$24+4)),0),ROUND(H164*(1+$B164),0))</f>
        <v>35895</v>
      </c>
      <c r="J164" s="41">
        <f>IF(Request!$F$158="AY",ROUND(D164*((1+$B164)^($B$24+5)),0),ROUND(I164*(1+$B164),0))</f>
        <v>39485</v>
      </c>
      <c r="K164" s="107">
        <f>IF(C$5=0,0,IF(Request!$F$158="AY",(E164*C$27+F164*C$28)/C$29,Worksheet!E164))</f>
        <v>24516.75</v>
      </c>
      <c r="L164" s="107">
        <f>IF(D$5=0,0,IF(Request!$F$158="AY",(F164*D$27+G164*D$28)/D$29,Worksheet!F164))</f>
        <v>0</v>
      </c>
      <c r="M164" s="107">
        <f>IF(E$5=0,0,IF(Request!$F$158="AY",(G164*E$27+H164*E$28)/E$29,Worksheet!G164))</f>
        <v>0</v>
      </c>
      <c r="N164" s="107">
        <f>IF(F$5=0,0,IF(Request!$F$158="AY",(H164*F$27+I164*F$28)/F$29,Worksheet!H164))</f>
        <v>0</v>
      </c>
      <c r="O164" s="107">
        <f>IF(G$5=0,0,IF(Request!$F$158="AY",(I164*G$27+J164*G$28)/G$29,Worksheet!I164))</f>
        <v>0</v>
      </c>
      <c r="P164" s="23"/>
      <c r="Q164" s="23"/>
      <c r="R164" s="23"/>
    </row>
    <row r="165" spans="1:18" x14ac:dyDescent="0.15">
      <c r="A165" s="4">
        <f>Request!A162</f>
        <v>0</v>
      </c>
      <c r="B165" s="26">
        <f>Request!F162</f>
        <v>0.1</v>
      </c>
      <c r="C165" s="41">
        <f>Request!G162</f>
        <v>17587</v>
      </c>
      <c r="D165" s="41">
        <f>IF(Request!$D$158="Use Buydown",C165*0.75,C165)</f>
        <v>13190.25</v>
      </c>
      <c r="E165" s="41">
        <f>IF(Request!$F$158="AY",ROUND(D165*((1+B165)^$B$24),0),D165)</f>
        <v>13190.25</v>
      </c>
      <c r="F165" s="41">
        <f>IF(Request!$F$158="AY",ROUND(D165*((1+$B165)^($B$24+1)),0),ROUND(E165*(1+B165),0))</f>
        <v>14509</v>
      </c>
      <c r="G165" s="41">
        <f>IF(Request!$F$158="AY",ROUND(D165*((1+$B165)^($B$24+2)),0),ROUND(F165*(1+$B165),0))</f>
        <v>15960</v>
      </c>
      <c r="H165" s="41">
        <f>IF(Request!$F$158="AY",ROUND(D165*((1+$B165)^($B$24+3)),0),ROUND(G165*(1+$B165),0))</f>
        <v>17556</v>
      </c>
      <c r="I165" s="41">
        <f>IF(Request!$F$158="AY",ROUND(D165*((1+$B165)^($B$24+4)),0),ROUND(H165*(1+$B165),0))</f>
        <v>19312</v>
      </c>
      <c r="J165" s="41">
        <f>IF(Request!$F$158="AY",ROUND(D165*((1+$B165)^($B$24+5)),0),ROUND(I165*(1+$B165),0))</f>
        <v>21243</v>
      </c>
      <c r="K165" s="107">
        <f>IF(C$5=0,0,IF(Request!$F$158="AY",(E165*C$27+F165*C$28)/C$29,Worksheet!E165))</f>
        <v>13190.25</v>
      </c>
      <c r="L165" s="107">
        <f>IF(D$5=0,0,IF(Request!$F$158="AY",(F165*D$27+G165*D$28)/D$29,Worksheet!F165))</f>
        <v>0</v>
      </c>
      <c r="M165" s="107">
        <f>IF(E$5=0,0,IF(Request!$F$158="AY",(G165*E$27+H165*E$28)/E$29,Worksheet!G165))</f>
        <v>0</v>
      </c>
      <c r="N165" s="107">
        <f>IF(F$5=0,0,IF(Request!$F$158="AY",(H165*F$27+I165*F$28)/F$29,Worksheet!H165))</f>
        <v>0</v>
      </c>
      <c r="O165" s="107">
        <f>IF(G$5=0,0,IF(Request!$F$158="AY",(I165*G$27+J165*G$28)/G$29,Worksheet!I165))</f>
        <v>0</v>
      </c>
      <c r="P165" s="23"/>
      <c r="Q165" s="23"/>
      <c r="R165" s="23"/>
    </row>
    <row r="166" spans="1:18" x14ac:dyDescent="0.15">
      <c r="A166" s="4">
        <f>Request!A163</f>
        <v>0</v>
      </c>
      <c r="B166" s="26">
        <f>Request!F163</f>
        <v>0.1</v>
      </c>
      <c r="C166" s="41">
        <f>Request!G163</f>
        <v>17587</v>
      </c>
      <c r="D166" s="41">
        <f>IF(Request!$D$158="Use Buydown",C166*0.75,C166)</f>
        <v>13190.25</v>
      </c>
      <c r="E166" s="41">
        <f>IF(Request!$F$158="AY",ROUND(D166*((1+B166)^$B$24),0),D166)</f>
        <v>13190.25</v>
      </c>
      <c r="F166" s="41">
        <f>IF(Request!$F$158="AY",ROUND(D166*((1+$B166)^($B$24+1)),0),ROUND(E166*(1+B166),0))</f>
        <v>14509</v>
      </c>
      <c r="G166" s="41">
        <f>IF(Request!$F$158="AY",ROUND(D166*((1+$B166)^($B$24+2)),0),ROUND(F166*(1+$B166),0))</f>
        <v>15960</v>
      </c>
      <c r="H166" s="41">
        <f>IF(Request!$F$158="AY",ROUND(D166*((1+$B166)^($B$24+3)),0),ROUND(G166*(1+$B166),0))</f>
        <v>17556</v>
      </c>
      <c r="I166" s="41">
        <f>IF(Request!$F$158="AY",ROUND(D166*((1+$B166)^($B$24+4)),0),ROUND(H166*(1+$B166),0))</f>
        <v>19312</v>
      </c>
      <c r="J166" s="41">
        <f>IF(Request!$F$158="AY",ROUND(D166*((1+$B166)^($B$24+5)),0),ROUND(I166*(1+$B166),0))</f>
        <v>21243</v>
      </c>
      <c r="K166" s="107">
        <f>IF(C$5=0,0,IF(Request!$F$158="AY",(E166*C$27+F166*C$28)/C$29,Worksheet!E166))</f>
        <v>13190.25</v>
      </c>
      <c r="L166" s="107">
        <f>IF(D$5=0,0,IF(Request!$F$158="AY",(F166*D$27+G166*D$28)/D$29,Worksheet!F166))</f>
        <v>0</v>
      </c>
      <c r="M166" s="107">
        <f>IF(E$5=0,0,IF(Request!$F$158="AY",(G166*E$27+H166*E$28)/E$29,Worksheet!G166))</f>
        <v>0</v>
      </c>
      <c r="N166" s="107">
        <f>IF(F$5=0,0,IF(Request!$F$158="AY",(H166*F$27+I166*F$28)/F$29,Worksheet!H166))</f>
        <v>0</v>
      </c>
      <c r="O166" s="107">
        <f>IF(G$5=0,0,IF(Request!$F$158="AY",(I166*G$27+J166*G$28)/G$29,Worksheet!I166))</f>
        <v>0</v>
      </c>
      <c r="P166" s="23"/>
      <c r="Q166" s="23"/>
      <c r="R166" s="23"/>
    </row>
    <row r="167" spans="1:18" x14ac:dyDescent="0.15">
      <c r="A167" s="4">
        <f>Request!A164</f>
        <v>0</v>
      </c>
      <c r="B167" s="26">
        <f>Request!F164</f>
        <v>0.1</v>
      </c>
      <c r="C167" s="41">
        <f>Request!G164</f>
        <v>17587</v>
      </c>
      <c r="D167" s="41">
        <f>IF(Request!$D$158="Use Buydown",C167*0.75,C167)</f>
        <v>13190.25</v>
      </c>
      <c r="E167" s="41">
        <f>IF(Request!$F$158="AY",ROUND(D167*((1+B167)^$B$24),0),D167)</f>
        <v>13190.25</v>
      </c>
      <c r="F167" s="41">
        <f>IF(Request!$F$158="AY",ROUND(D167*((1+$B167)^($B$24+1)),0),ROUND(E167*(1+B167),0))</f>
        <v>14509</v>
      </c>
      <c r="G167" s="41">
        <f>IF(Request!$F$158="AY",ROUND(D167*((1+$B167)^($B$24+2)),0),ROUND(F167*(1+$B167),0))</f>
        <v>15960</v>
      </c>
      <c r="H167" s="41">
        <f>IF(Request!$F$158="AY",ROUND(D167*((1+$B167)^($B$24+3)),0),ROUND(G167*(1+$B167),0))</f>
        <v>17556</v>
      </c>
      <c r="I167" s="41">
        <f>IF(Request!$F$158="AY",ROUND(D167*((1+$B167)^($B$24+4)),0),ROUND(H167*(1+$B167),0))</f>
        <v>19312</v>
      </c>
      <c r="J167" s="41">
        <f>IF(Request!$F$158="AY",ROUND(D167*((1+$B167)^($B$24+5)),0),ROUND(I167*(1+$B167),0))</f>
        <v>21243</v>
      </c>
      <c r="K167" s="107">
        <f>IF(C$5=0,0,IF(Request!$F$158="AY",(E167*C$27+F167*C$28)/C$29,Worksheet!E167))</f>
        <v>13190.25</v>
      </c>
      <c r="L167" s="107">
        <f>IF(D$5=0,0,IF(Request!$F$158="AY",(F167*D$27+G167*D$28)/D$29,Worksheet!F167))</f>
        <v>0</v>
      </c>
      <c r="M167" s="107">
        <f>IF(E$5=0,0,IF(Request!$F$158="AY",(G167*E$27+H167*E$28)/E$29,Worksheet!G167))</f>
        <v>0</v>
      </c>
      <c r="N167" s="107">
        <f>IF(F$5=0,0,IF(Request!$F$158="AY",(H167*F$27+I167*F$28)/F$29,Worksheet!H167))</f>
        <v>0</v>
      </c>
      <c r="O167" s="107">
        <f>IF(G$5=0,0,IF(Request!$F$158="AY",(I167*G$27+J167*G$28)/G$29,Worksheet!I167))</f>
        <v>0</v>
      </c>
      <c r="P167" s="23"/>
      <c r="Q167" s="23"/>
      <c r="R167" s="23"/>
    </row>
    <row r="168" spans="1:18" x14ac:dyDescent="0.15">
      <c r="A168" s="4">
        <f>Request!A165</f>
        <v>0</v>
      </c>
      <c r="B168" s="26">
        <f>Request!F165</f>
        <v>0.1</v>
      </c>
      <c r="C168" s="41">
        <f>Request!G165</f>
        <v>17587</v>
      </c>
      <c r="D168" s="41">
        <f>IF(Request!$D$158="Use Buydown",C168*0.75,C168)</f>
        <v>13190.25</v>
      </c>
      <c r="E168" s="41">
        <f>IF(Request!$F$158="AY",ROUND(D168*((1+B168)^$B$24),0),D168)</f>
        <v>13190.25</v>
      </c>
      <c r="F168" s="41">
        <f>IF(Request!$F$158="AY",ROUND(D168*((1+$B168)^($B$24+1)),0),ROUND(E168*(1+B168),0))</f>
        <v>14509</v>
      </c>
      <c r="G168" s="41">
        <f>IF(Request!$F$158="AY",ROUND(D168*((1+$B168)^($B$24+2)),0),ROUND(F168*(1+$B168),0))</f>
        <v>15960</v>
      </c>
      <c r="H168" s="41">
        <f>IF(Request!$F$158="AY",ROUND(D168*((1+$B168)^($B$24+3)),0),ROUND(G168*(1+$B168),0))</f>
        <v>17556</v>
      </c>
      <c r="I168" s="41">
        <f>IF(Request!$F$158="AY",ROUND(D168*((1+$B168)^($B$24+4)),0),ROUND(H168*(1+$B168),0))</f>
        <v>19312</v>
      </c>
      <c r="J168" s="41">
        <f>IF(Request!$F$158="AY",ROUND(D168*((1+$B168)^($B$24+5)),0),ROUND(I168*(1+$B168),0))</f>
        <v>21243</v>
      </c>
      <c r="K168" s="107">
        <f>IF(C$5=0,0,IF(Request!$F$158="AY",(E168*C$27+F168*C$28)/C$29,Worksheet!E168))</f>
        <v>13190.25</v>
      </c>
      <c r="L168" s="107">
        <f>IF(D$5=0,0,IF(Request!$F$158="AY",(F168*D$27+G168*D$28)/D$29,Worksheet!F168))</f>
        <v>0</v>
      </c>
      <c r="M168" s="107">
        <f>IF(E$5=0,0,IF(Request!$F$158="AY",(G168*E$27+H168*E$28)/E$29,Worksheet!G168))</f>
        <v>0</v>
      </c>
      <c r="N168" s="107">
        <f>IF(F$5=0,0,IF(Request!$F$158="AY",(H168*F$27+I168*F$28)/F$29,Worksheet!H168))</f>
        <v>0</v>
      </c>
      <c r="O168" s="107">
        <f>IF(G$5=0,0,IF(Request!$F$158="AY",(I168*G$27+J168*G$28)/G$29,Worksheet!I168))</f>
        <v>0</v>
      </c>
    </row>
    <row r="169" spans="1:18" x14ac:dyDescent="0.15">
      <c r="A169" s="4">
        <f>Request!A166</f>
        <v>0</v>
      </c>
      <c r="B169" s="26">
        <f>Request!F166</f>
        <v>0.1</v>
      </c>
      <c r="C169" s="41">
        <f>Request!G166</f>
        <v>17587</v>
      </c>
      <c r="D169" s="41">
        <f>IF(Request!$D$158="Use Buydown",C169*0.75,C169)</f>
        <v>13190.25</v>
      </c>
      <c r="E169" s="41">
        <f>IF(Request!$F$158="AY",ROUND(D169*((1+B169)^$B$24),0),D169)</f>
        <v>13190.25</v>
      </c>
      <c r="F169" s="41">
        <f>IF(Request!$F$158="AY",ROUND(D169*((1+$B169)^($B$24+1)),0),ROUND(E169*(1+B169),0))</f>
        <v>14509</v>
      </c>
      <c r="G169" s="41">
        <f>IF(Request!$F$158="AY",ROUND(D169*((1+$B169)^($B$24+2)),0),ROUND(F169*(1+$B169),0))</f>
        <v>15960</v>
      </c>
      <c r="H169" s="41">
        <f>IF(Request!$F$158="AY",ROUND(D169*((1+$B169)^($B$24+3)),0),ROUND(G169*(1+$B169),0))</f>
        <v>17556</v>
      </c>
      <c r="I169" s="41">
        <f>IF(Request!$F$158="AY",ROUND(D169*((1+$B169)^($B$24+4)),0),ROUND(H169*(1+$B169),0))</f>
        <v>19312</v>
      </c>
      <c r="J169" s="41">
        <f>IF(Request!$F$158="AY",ROUND(D169*((1+$B169)^($B$24+5)),0),ROUND(I169*(1+$B169),0))</f>
        <v>21243</v>
      </c>
      <c r="K169" s="107">
        <f>IF(C$5=0,0,IF(Request!$F$158="AY",(E169*C$27+F169*C$28)/C$29,Worksheet!E169))</f>
        <v>13190.25</v>
      </c>
      <c r="L169" s="107">
        <f>IF(D$5=0,0,IF(Request!$F$158="AY",(F169*D$27+G169*D$28)/D$29,Worksheet!F169))</f>
        <v>0</v>
      </c>
      <c r="M169" s="107">
        <f>IF(E$5=0,0,IF(Request!$F$158="AY",(G169*E$27+H169*E$28)/E$29,Worksheet!G169))</f>
        <v>0</v>
      </c>
      <c r="N169" s="107">
        <f>IF(F$5=0,0,IF(Request!$F$158="AY",(H169*F$27+I169*F$28)/F$29,Worksheet!H169))</f>
        <v>0</v>
      </c>
      <c r="O169" s="107">
        <f>IF(G$5=0,0,IF(Request!$F$158="AY",(I169*G$27+J169*G$28)/G$29,Worksheet!I169))</f>
        <v>0</v>
      </c>
    </row>
    <row r="170" spans="1:18" x14ac:dyDescent="0.15">
      <c r="A170" s="4">
        <f>Request!A167</f>
        <v>0</v>
      </c>
      <c r="B170" s="26">
        <f>Request!F167</f>
        <v>0.1</v>
      </c>
      <c r="C170" s="41">
        <f>Request!G167</f>
        <v>17587</v>
      </c>
      <c r="D170" s="41">
        <f>IF(Request!$D$158="Use Buydown",C170*0.75,C170)</f>
        <v>13190.25</v>
      </c>
      <c r="E170" s="41">
        <f>IF(Request!$F$158="AY",ROUND(D170*((1+B170)^$B$24),0),D170)</f>
        <v>13190.25</v>
      </c>
      <c r="F170" s="41">
        <f>IF(Request!$F$158="AY",ROUND(D170*((1+$B170)^($B$24+1)),0),ROUND(E170*(1+B170),0))</f>
        <v>14509</v>
      </c>
      <c r="G170" s="41">
        <f>IF(Request!$F$158="AY",ROUND(D170*((1+$B170)^($B$24+2)),0),ROUND(F170*(1+$B170),0))</f>
        <v>15960</v>
      </c>
      <c r="H170" s="41">
        <f>IF(Request!$F$158="AY",ROUND(D170*((1+$B170)^($B$24+3)),0),ROUND(G170*(1+$B170),0))</f>
        <v>17556</v>
      </c>
      <c r="I170" s="41">
        <f>IF(Request!$F$158="AY",ROUND(D170*((1+$B170)^($B$24+4)),0),ROUND(H170*(1+$B170),0))</f>
        <v>19312</v>
      </c>
      <c r="J170" s="41">
        <f>IF(Request!$F$158="AY",ROUND(D170*((1+$B170)^($B$24+5)),0),ROUND(I170*(1+$B170),0))</f>
        <v>21243</v>
      </c>
      <c r="K170" s="107">
        <f>IF(C$5=0,0,IF(Request!$F$158="AY",(E170*C$27+F170*C$28)/C$29,Worksheet!E170))</f>
        <v>13190.25</v>
      </c>
      <c r="L170" s="107">
        <f>IF(D$5=0,0,IF(Request!$F$158="AY",(F170*D$27+G170*D$28)/D$29,Worksheet!F170))</f>
        <v>0</v>
      </c>
      <c r="M170" s="107">
        <f>IF(E$5=0,0,IF(Request!$F$158="AY",(G170*E$27+H170*E$28)/E$29,Worksheet!G170))</f>
        <v>0</v>
      </c>
      <c r="N170" s="107">
        <f>IF(F$5=0,0,IF(Request!$F$158="AY",(H170*F$27+I170*F$28)/F$29,Worksheet!H170))</f>
        <v>0</v>
      </c>
      <c r="O170" s="107">
        <f>IF(G$5=0,0,IF(Request!$F$158="AY",(I170*G$27+J170*G$28)/G$29,Worksheet!I170))</f>
        <v>0</v>
      </c>
    </row>
    <row r="171" spans="1:18" x14ac:dyDescent="0.15">
      <c r="A171" s="4">
        <f>Request!A168</f>
        <v>0</v>
      </c>
      <c r="B171" s="26">
        <f>Request!F168</f>
        <v>0.1</v>
      </c>
      <c r="C171" s="41">
        <f>Request!G168</f>
        <v>17587</v>
      </c>
      <c r="D171" s="41">
        <f>IF(Request!$D$158="Use Buydown",C171*0.75,C171)</f>
        <v>13190.25</v>
      </c>
      <c r="E171" s="41">
        <f>IF(Request!$F$158="AY",ROUND(D171*((1+B171)^$B$24),0),D171)</f>
        <v>13190.25</v>
      </c>
      <c r="F171" s="41">
        <f>IF(Request!$F$158="AY",ROUND(D171*((1+$B171)^($B$24+1)),0),ROUND(E171*(1+B171),0))</f>
        <v>14509</v>
      </c>
      <c r="G171" s="41">
        <f>IF(Request!$F$158="AY",ROUND(D171*((1+$B171)^($B$24+2)),0),ROUND(F171*(1+$B171),0))</f>
        <v>15960</v>
      </c>
      <c r="H171" s="41">
        <f>IF(Request!$F$158="AY",ROUND(D171*((1+$B171)^($B$24+3)),0),ROUND(G171*(1+$B171),0))</f>
        <v>17556</v>
      </c>
      <c r="I171" s="41">
        <f>IF(Request!$F$158="AY",ROUND(D171*((1+$B171)^($B$24+4)),0),ROUND(H171*(1+$B171),0))</f>
        <v>19312</v>
      </c>
      <c r="J171" s="41">
        <f>IF(Request!$F$158="AY",ROUND(D171*((1+$B171)^($B$24+5)),0),ROUND(I171*(1+$B171),0))</f>
        <v>21243</v>
      </c>
      <c r="K171" s="107">
        <f>IF(C$5=0,0,IF(Request!$F$158="AY",(E171*C$27+F171*C$28)/C$29,Worksheet!E171))</f>
        <v>13190.25</v>
      </c>
      <c r="L171" s="107">
        <f>IF(D$5=0,0,IF(Request!$F$158="AY",(F171*D$27+G171*D$28)/D$29,Worksheet!F171))</f>
        <v>0</v>
      </c>
      <c r="M171" s="107">
        <f>IF(E$5=0,0,IF(Request!$F$158="AY",(G171*E$27+H171*E$28)/E$29,Worksheet!G171))</f>
        <v>0</v>
      </c>
      <c r="N171" s="107">
        <f>IF(F$5=0,0,IF(Request!$F$158="AY",(H171*F$27+I171*F$28)/F$29,Worksheet!H171))</f>
        <v>0</v>
      </c>
      <c r="O171" s="107">
        <f>IF(G$5=0,0,IF(Request!$F$158="AY",(I171*G$27+J171*G$28)/G$29,Worksheet!I171))</f>
        <v>0</v>
      </c>
    </row>
    <row r="172" spans="1:18" x14ac:dyDescent="0.15">
      <c r="A172" s="4">
        <f>Request!A169</f>
        <v>0</v>
      </c>
      <c r="B172" s="26">
        <f>Request!F169</f>
        <v>0.1</v>
      </c>
      <c r="C172" s="41">
        <f>Request!G169</f>
        <v>17587</v>
      </c>
      <c r="D172" s="41">
        <f>IF(Request!$D$158="Use Buydown",C172*0.75,C172)</f>
        <v>13190.25</v>
      </c>
      <c r="E172" s="41">
        <f>IF(Request!$F$158="AY",ROUND(D172*((1+B172)^$B$24),0),D172)</f>
        <v>13190.25</v>
      </c>
      <c r="F172" s="41">
        <f>IF(Request!$F$158="AY",ROUND(D172*((1+$B172)^($B$24+1)),0),ROUND(E172*(1+B172),0))</f>
        <v>14509</v>
      </c>
      <c r="G172" s="41">
        <f>IF(Request!$F$158="AY",ROUND(D172*((1+$B172)^($B$24+2)),0),ROUND(F172*(1+$B172),0))</f>
        <v>15960</v>
      </c>
      <c r="H172" s="41">
        <f>IF(Request!$F$158="AY",ROUND(D172*((1+$B172)^($B$24+3)),0),ROUND(G172*(1+$B172),0))</f>
        <v>17556</v>
      </c>
      <c r="I172" s="41">
        <f>IF(Request!$F$158="AY",ROUND(D172*((1+$B172)^($B$24+4)),0),ROUND(H172*(1+$B172),0))</f>
        <v>19312</v>
      </c>
      <c r="J172" s="41">
        <f>IF(Request!$F$158="AY",ROUND(D172*((1+$B172)^($B$24+5)),0),ROUND(I172*(1+$B172),0))</f>
        <v>21243</v>
      </c>
      <c r="K172" s="107">
        <f>IF(C$5=0,0,IF(Request!$F$158="AY",(E172*C$27+F172*C$28)/C$29,Worksheet!E172))</f>
        <v>13190.25</v>
      </c>
      <c r="L172" s="107">
        <f>IF(D$5=0,0,IF(Request!$F$158="AY",(F172*D$27+G172*D$28)/D$29,Worksheet!F172))</f>
        <v>0</v>
      </c>
      <c r="M172" s="107">
        <f>IF(E$5=0,0,IF(Request!$F$158="AY",(G172*E$27+H172*E$28)/E$29,Worksheet!G172))</f>
        <v>0</v>
      </c>
      <c r="N172" s="107">
        <f>IF(F$5=0,0,IF(Request!$F$158="AY",(H172*F$27+I172*F$28)/F$29,Worksheet!H172))</f>
        <v>0</v>
      </c>
      <c r="O172" s="107">
        <f>IF(G$5=0,0,IF(Request!$F$158="AY",(I172*G$27+J172*G$28)/G$29,Worksheet!I172))</f>
        <v>0</v>
      </c>
    </row>
    <row r="173" spans="1:18" x14ac:dyDescent="0.15">
      <c r="A173" s="4">
        <f>Request!A170</f>
        <v>0</v>
      </c>
      <c r="B173" s="26">
        <f>Request!F170</f>
        <v>0.1</v>
      </c>
      <c r="C173" s="41">
        <f>Request!G170</f>
        <v>17587</v>
      </c>
      <c r="D173" s="41">
        <f>IF(Request!$D$158="Use Buydown",C173*0.75,C173)</f>
        <v>13190.25</v>
      </c>
      <c r="E173" s="41">
        <f>IF(Request!$F$158="AY",ROUND(D173*((1+B173)^$B$24),0),D173)</f>
        <v>13190.25</v>
      </c>
      <c r="F173" s="41">
        <f>IF(Request!$F$158="AY",ROUND(D173*((1+$B173)^($B$24+1)),0),ROUND(E173*(1+B173),0))</f>
        <v>14509</v>
      </c>
      <c r="G173" s="41">
        <f>IF(Request!$F$158="AY",ROUND(D173*((1+$B173)^($B$24+2)),0),ROUND(F173*(1+$B173),0))</f>
        <v>15960</v>
      </c>
      <c r="H173" s="41">
        <f>IF(Request!$F$158="AY",ROUND(D173*((1+$B173)^($B$24+3)),0),ROUND(G173*(1+$B173),0))</f>
        <v>17556</v>
      </c>
      <c r="I173" s="41">
        <f>IF(Request!$F$158="AY",ROUND(D173*((1+$B173)^($B$24+4)),0),ROUND(H173*(1+$B173),0))</f>
        <v>19312</v>
      </c>
      <c r="J173" s="41">
        <f>IF(Request!$F$158="AY",ROUND(D173*((1+$B173)^($B$24+5)),0),ROUND(I173*(1+$B173),0))</f>
        <v>21243</v>
      </c>
      <c r="K173" s="107">
        <f>IF(C$5=0,0,IF(Request!$F$158="AY",(E173*C$27+F173*C$28)/C$29,Worksheet!E173))</f>
        <v>13190.25</v>
      </c>
      <c r="L173" s="107">
        <f>IF(D$5=0,0,IF(Request!$F$158="AY",(F173*D$27+G173*D$28)/D$29,Worksheet!F173))</f>
        <v>0</v>
      </c>
      <c r="M173" s="107">
        <f>IF(E$5=0,0,IF(Request!$F$158="AY",(G173*E$27+H173*E$28)/E$29,Worksheet!G173))</f>
        <v>0</v>
      </c>
      <c r="N173" s="107">
        <f>IF(F$5=0,0,IF(Request!$F$158="AY",(H173*F$27+I173*F$28)/F$29,Worksheet!H173))</f>
        <v>0</v>
      </c>
      <c r="O173" s="107">
        <f>IF(G$5=0,0,IF(Request!$F$158="AY",(I173*G$27+J173*G$28)/G$29,Worksheet!I173))</f>
        <v>0</v>
      </c>
    </row>
    <row r="175" spans="1:18" x14ac:dyDescent="0.15">
      <c r="D175" s="38"/>
      <c r="E175" s="38"/>
    </row>
    <row r="176" spans="1:18" x14ac:dyDescent="0.15">
      <c r="A176" s="2" t="s">
        <v>123</v>
      </c>
    </row>
    <row r="177" spans="1:12" x14ac:dyDescent="0.15">
      <c r="A177" s="40" t="str">
        <f>Request!B16</f>
        <v xml:space="preserve">PI #1 </v>
      </c>
      <c r="B177" s="119">
        <f>C5</f>
        <v>12</v>
      </c>
      <c r="C177" s="119">
        <f t="shared" ref="C177:F177" si="37">D5</f>
        <v>0</v>
      </c>
      <c r="D177" s="119">
        <f t="shared" si="37"/>
        <v>0</v>
      </c>
      <c r="E177" s="119">
        <f t="shared" si="37"/>
        <v>0</v>
      </c>
      <c r="F177" s="119">
        <f t="shared" si="37"/>
        <v>0</v>
      </c>
      <c r="G177" s="69">
        <f>Request!L16</f>
        <v>12</v>
      </c>
      <c r="H177" s="69" t="e">
        <f>IF(#REF!="No",(Request!F16*B177/12*Request!$L16),(Request!F16*Worksheet!B177))</f>
        <v>#REF!</v>
      </c>
      <c r="I177" s="69" t="e">
        <f>IF(#REF!="No",(Request!G16*C177/12*Request!$L16),(Request!G16*Worksheet!C177))</f>
        <v>#REF!</v>
      </c>
      <c r="J177" s="69" t="e">
        <f>IF(#REF!="No",(Request!H16*D177/12*Request!$L16),(Request!H16*Worksheet!D177))</f>
        <v>#REF!</v>
      </c>
      <c r="K177" s="69" t="e">
        <f>IF(#REF!="No",(Request!I16*E177/12*Request!$L16),(Request!I16*Worksheet!E177))</f>
        <v>#REF!</v>
      </c>
      <c r="L177" s="69" t="e">
        <f>IF(#REF!="No",(Request!J16*F177/12*Request!$L16),(Request!J16*Worksheet!F177))</f>
        <v>#REF!</v>
      </c>
    </row>
    <row r="178" spans="1:12" x14ac:dyDescent="0.15">
      <c r="A178" s="40" t="str">
        <f>Request!B17</f>
        <v>PI #2</v>
      </c>
      <c r="B178" s="119">
        <f>B177</f>
        <v>12</v>
      </c>
      <c r="C178" s="119">
        <f t="shared" ref="C178:F178" si="38">C177</f>
        <v>0</v>
      </c>
      <c r="D178" s="119">
        <f t="shared" si="38"/>
        <v>0</v>
      </c>
      <c r="E178" s="119">
        <f t="shared" si="38"/>
        <v>0</v>
      </c>
      <c r="F178" s="119">
        <f t="shared" si="38"/>
        <v>0</v>
      </c>
      <c r="G178" s="69">
        <f>Request!L17</f>
        <v>12</v>
      </c>
      <c r="H178" s="69" t="e">
        <f>IF(#REF!="No",(Request!F17*B178/12*Request!$L17),(Request!F17*Worksheet!B178))</f>
        <v>#REF!</v>
      </c>
      <c r="I178" s="69" t="e">
        <f>IF(#REF!="No",(Request!G17*C178/12*Request!$L17),(Request!G17*Worksheet!C178))</f>
        <v>#REF!</v>
      </c>
      <c r="J178" s="69" t="e">
        <f>IF(#REF!="No",(Request!H17*D178/12*Request!$L17),(Request!H17*Worksheet!D178))</f>
        <v>#REF!</v>
      </c>
      <c r="K178" s="69" t="e">
        <f>IF(#REF!="No",(Request!I17*E178/12*Request!$L17),(Request!I17*Worksheet!E178))</f>
        <v>#REF!</v>
      </c>
      <c r="L178" s="69" t="e">
        <f>IF(#REF!="No",(Request!J17*F178/12*Request!$L17),(Request!J17*Worksheet!F178))</f>
        <v>#REF!</v>
      </c>
    </row>
    <row r="179" spans="1:12" x14ac:dyDescent="0.15">
      <c r="A179" s="40" t="str">
        <f>Request!B18</f>
        <v>TBN</v>
      </c>
      <c r="B179" s="119">
        <f t="shared" ref="B179:B200" si="39">B178</f>
        <v>12</v>
      </c>
      <c r="C179" s="119">
        <f t="shared" ref="C179:C200" si="40">C178</f>
        <v>0</v>
      </c>
      <c r="D179" s="119">
        <f t="shared" ref="D179:D200" si="41">D178</f>
        <v>0</v>
      </c>
      <c r="E179" s="119">
        <f t="shared" ref="E179:E200" si="42">E178</f>
        <v>0</v>
      </c>
      <c r="F179" s="119">
        <f t="shared" ref="F179:F200" si="43">F178</f>
        <v>0</v>
      </c>
      <c r="G179" s="69">
        <f>Request!L18</f>
        <v>12</v>
      </c>
      <c r="H179" s="69" t="e">
        <f>IF(#REF!="No",(Request!F18*B179/12*Request!$L18),(Request!F18*Worksheet!B179))</f>
        <v>#REF!</v>
      </c>
      <c r="I179" s="69" t="e">
        <f>IF(#REF!="No",(Request!G18*C179/12*Request!$L18),(Request!G18*Worksheet!C179))</f>
        <v>#REF!</v>
      </c>
      <c r="J179" s="69" t="e">
        <f>IF(#REF!="No",(Request!H18*D179/12*Request!$L18),(Request!H18*Worksheet!D179))</f>
        <v>#REF!</v>
      </c>
      <c r="K179" s="69" t="e">
        <f>IF(#REF!="No",(Request!I18*E179/12*Request!$L18),(Request!I18*Worksheet!E179))</f>
        <v>#REF!</v>
      </c>
      <c r="L179" s="69" t="e">
        <f>IF(#REF!="No",(Request!J18*F179/12*Request!$L18),(Request!J18*Worksheet!F179))</f>
        <v>#REF!</v>
      </c>
    </row>
    <row r="180" spans="1:12" x14ac:dyDescent="0.15">
      <c r="A180" s="40" t="str">
        <f>Request!B19</f>
        <v>TBN</v>
      </c>
      <c r="B180" s="119">
        <f t="shared" si="39"/>
        <v>12</v>
      </c>
      <c r="C180" s="119">
        <f t="shared" si="40"/>
        <v>0</v>
      </c>
      <c r="D180" s="119">
        <f t="shared" si="41"/>
        <v>0</v>
      </c>
      <c r="E180" s="119">
        <f t="shared" si="42"/>
        <v>0</v>
      </c>
      <c r="F180" s="119">
        <f t="shared" si="43"/>
        <v>0</v>
      </c>
      <c r="G180" s="69">
        <f>Request!L19</f>
        <v>12</v>
      </c>
      <c r="H180" s="69" t="e">
        <f>IF(#REF!="No",(Request!F19*B180/12*Request!$L19),(Request!F19*Worksheet!B180))</f>
        <v>#REF!</v>
      </c>
      <c r="I180" s="69" t="e">
        <f>IF(#REF!="No",(Request!G19*C180/12*Request!$L19),(Request!G19*Worksheet!C180))</f>
        <v>#REF!</v>
      </c>
      <c r="J180" s="69" t="e">
        <f>IF(#REF!="No",(Request!H19*D180/12*Request!$L19),(Request!H19*Worksheet!D180))</f>
        <v>#REF!</v>
      </c>
      <c r="K180" s="69" t="e">
        <f>IF(#REF!="No",(Request!I19*E180/12*Request!$L19),(Request!I19*Worksheet!E180))</f>
        <v>#REF!</v>
      </c>
      <c r="L180" s="69" t="e">
        <f>IF(#REF!="No",(Request!J19*F180/12*Request!$L19),(Request!J19*Worksheet!F180))</f>
        <v>#REF!</v>
      </c>
    </row>
    <row r="181" spans="1:12" x14ac:dyDescent="0.15">
      <c r="A181" s="40">
        <f>Request!B20</f>
        <v>0</v>
      </c>
      <c r="B181" s="119">
        <f t="shared" si="39"/>
        <v>12</v>
      </c>
      <c r="C181" s="119">
        <f t="shared" si="40"/>
        <v>0</v>
      </c>
      <c r="D181" s="119">
        <f t="shared" si="41"/>
        <v>0</v>
      </c>
      <c r="E181" s="119">
        <f t="shared" si="42"/>
        <v>0</v>
      </c>
      <c r="F181" s="119">
        <f t="shared" si="43"/>
        <v>0</v>
      </c>
      <c r="G181" s="69">
        <f>Request!L20</f>
        <v>12</v>
      </c>
      <c r="H181" s="69" t="e">
        <f>IF(#REF!="No",(Request!F20*B181/12*Request!$L20),(Request!F20*Worksheet!B181))</f>
        <v>#REF!</v>
      </c>
      <c r="I181" s="69" t="e">
        <f>IF(#REF!="No",(Request!G20*C181/12*Request!$L20),(Request!G20*Worksheet!C181))</f>
        <v>#REF!</v>
      </c>
      <c r="J181" s="69" t="e">
        <f>IF(#REF!="No",(Request!H20*D181/12*Request!$L20),(Request!H20*Worksheet!D181))</f>
        <v>#REF!</v>
      </c>
      <c r="K181" s="69" t="e">
        <f>IF(#REF!="No",(Request!I20*E181/12*Request!$L20),(Request!I20*Worksheet!E181))</f>
        <v>#REF!</v>
      </c>
      <c r="L181" s="69" t="e">
        <f>IF(#REF!="No",(Request!J20*F181/12*Request!$L20),(Request!J20*Worksheet!F181))</f>
        <v>#REF!</v>
      </c>
    </row>
    <row r="182" spans="1:12" x14ac:dyDescent="0.15">
      <c r="A182" s="40">
        <f>Request!B21</f>
        <v>0</v>
      </c>
      <c r="B182" s="119">
        <f t="shared" si="39"/>
        <v>12</v>
      </c>
      <c r="C182" s="119">
        <f t="shared" si="40"/>
        <v>0</v>
      </c>
      <c r="D182" s="119">
        <f t="shared" si="41"/>
        <v>0</v>
      </c>
      <c r="E182" s="119">
        <f t="shared" si="42"/>
        <v>0</v>
      </c>
      <c r="F182" s="119">
        <f t="shared" si="43"/>
        <v>0</v>
      </c>
      <c r="G182" s="69">
        <f>Request!L21</f>
        <v>12</v>
      </c>
      <c r="H182" s="69" t="e">
        <f>IF(#REF!="No",(Request!F21*B182/12*Request!$L21),(Request!F21*Worksheet!B182))</f>
        <v>#REF!</v>
      </c>
      <c r="I182" s="69" t="e">
        <f>IF(#REF!="No",(Request!G21*C182/12*Request!$L21),(Request!G21*Worksheet!C182))</f>
        <v>#REF!</v>
      </c>
      <c r="J182" s="69" t="e">
        <f>IF(#REF!="No",(Request!H21*D182/12*Request!$L21),(Request!H21*Worksheet!D182))</f>
        <v>#REF!</v>
      </c>
      <c r="K182" s="69" t="e">
        <f>IF(#REF!="No",(Request!I21*E182/12*Request!$L21),(Request!I21*Worksheet!E182))</f>
        <v>#REF!</v>
      </c>
      <c r="L182" s="69" t="e">
        <f>IF(#REF!="No",(Request!J21*F182/12*Request!$L21),(Request!J21*Worksheet!F182))</f>
        <v>#REF!</v>
      </c>
    </row>
    <row r="183" spans="1:12" x14ac:dyDescent="0.15">
      <c r="A183" s="40">
        <f>Request!B22</f>
        <v>0</v>
      </c>
      <c r="B183" s="119">
        <f t="shared" si="39"/>
        <v>12</v>
      </c>
      <c r="C183" s="119">
        <f t="shared" si="40"/>
        <v>0</v>
      </c>
      <c r="D183" s="119">
        <f t="shared" si="41"/>
        <v>0</v>
      </c>
      <c r="E183" s="119">
        <f t="shared" si="42"/>
        <v>0</v>
      </c>
      <c r="F183" s="119">
        <f t="shared" si="43"/>
        <v>0</v>
      </c>
      <c r="G183" s="69">
        <f>Request!L22</f>
        <v>12</v>
      </c>
      <c r="H183" s="69" t="e">
        <f>IF(#REF!="No",(Request!F22*B183/12*Request!$L22),(Request!F22*Worksheet!B183))</f>
        <v>#REF!</v>
      </c>
      <c r="I183" s="69" t="e">
        <f>IF(#REF!="No",(Request!G22*C183/12*Request!$L22),(Request!G22*Worksheet!C183))</f>
        <v>#REF!</v>
      </c>
      <c r="J183" s="69" t="e">
        <f>IF(#REF!="No",(Request!H22*D183/12*Request!$L22),(Request!H22*Worksheet!D183))</f>
        <v>#REF!</v>
      </c>
      <c r="K183" s="69" t="e">
        <f>IF(#REF!="No",(Request!I22*E183/12*Request!$L22),(Request!I22*Worksheet!E183))</f>
        <v>#REF!</v>
      </c>
      <c r="L183" s="69" t="e">
        <f>IF(#REF!="No",(Request!J22*F183/12*Request!$L22),(Request!J22*Worksheet!F183))</f>
        <v>#REF!</v>
      </c>
    </row>
    <row r="184" spans="1:12" x14ac:dyDescent="0.15">
      <c r="A184" s="40">
        <f>Request!B23</f>
        <v>0</v>
      </c>
      <c r="B184" s="119">
        <f t="shared" si="39"/>
        <v>12</v>
      </c>
      <c r="C184" s="119">
        <f t="shared" si="40"/>
        <v>0</v>
      </c>
      <c r="D184" s="119">
        <f t="shared" si="41"/>
        <v>0</v>
      </c>
      <c r="E184" s="119">
        <f t="shared" si="42"/>
        <v>0</v>
      </c>
      <c r="F184" s="119">
        <f t="shared" si="43"/>
        <v>0</v>
      </c>
      <c r="G184" s="69">
        <f>Request!L23</f>
        <v>12</v>
      </c>
      <c r="H184" s="69" t="e">
        <f>IF(#REF!="No",(Request!F23*B184/12*Request!$L23),(Request!F23*Worksheet!B184))</f>
        <v>#REF!</v>
      </c>
      <c r="I184" s="69" t="e">
        <f>IF(#REF!="No",(Request!G23*C184/12*Request!$L23),(Request!G23*Worksheet!C184))</f>
        <v>#REF!</v>
      </c>
      <c r="J184" s="69" t="e">
        <f>IF(#REF!="No",(Request!H23*D184/12*Request!$L23),(Request!H23*Worksheet!D184))</f>
        <v>#REF!</v>
      </c>
      <c r="K184" s="69" t="e">
        <f>IF(#REF!="No",(Request!I23*E184/12*Request!$L23),(Request!I23*Worksheet!E184))</f>
        <v>#REF!</v>
      </c>
      <c r="L184" s="69" t="e">
        <f>IF(#REF!="No",(Request!J23*F184/12*Request!$L23),(Request!J23*Worksheet!F184))</f>
        <v>#REF!</v>
      </c>
    </row>
    <row r="185" spans="1:12" x14ac:dyDescent="0.15">
      <c r="A185" s="40">
        <f>Request!B24</f>
        <v>0</v>
      </c>
      <c r="B185" s="119">
        <f t="shared" si="39"/>
        <v>12</v>
      </c>
      <c r="C185" s="119">
        <f t="shared" si="40"/>
        <v>0</v>
      </c>
      <c r="D185" s="119">
        <f t="shared" si="41"/>
        <v>0</v>
      </c>
      <c r="E185" s="119">
        <f t="shared" si="42"/>
        <v>0</v>
      </c>
      <c r="F185" s="119">
        <f t="shared" si="43"/>
        <v>0</v>
      </c>
      <c r="G185" s="69">
        <f>Request!L24</f>
        <v>12</v>
      </c>
      <c r="H185" s="69" t="e">
        <f>IF(#REF!="No",(Request!F24*B185/12*Request!$L24),(Request!F24*Worksheet!B185))</f>
        <v>#REF!</v>
      </c>
      <c r="I185" s="69" t="e">
        <f>IF(#REF!="No",(Request!G24*C185/12*Request!$L24),(Request!G24*Worksheet!C185))</f>
        <v>#REF!</v>
      </c>
      <c r="J185" s="69" t="e">
        <f>IF(#REF!="No",(Request!H24*D185/12*Request!$L24),(Request!H24*Worksheet!D185))</f>
        <v>#REF!</v>
      </c>
      <c r="K185" s="69" t="e">
        <f>IF(#REF!="No",(Request!I24*E185/12*Request!$L24),(Request!I24*Worksheet!E185))</f>
        <v>#REF!</v>
      </c>
      <c r="L185" s="69" t="e">
        <f>IF(#REF!="No",(Request!J24*F185/12*Request!$L24),(Request!J24*Worksheet!F185))</f>
        <v>#REF!</v>
      </c>
    </row>
    <row r="186" spans="1:12" x14ac:dyDescent="0.15">
      <c r="A186" s="40">
        <f>Request!B25</f>
        <v>0</v>
      </c>
      <c r="B186" s="119">
        <f t="shared" si="39"/>
        <v>12</v>
      </c>
      <c r="C186" s="119">
        <f t="shared" si="40"/>
        <v>0</v>
      </c>
      <c r="D186" s="119">
        <f t="shared" si="41"/>
        <v>0</v>
      </c>
      <c r="E186" s="119">
        <f t="shared" si="42"/>
        <v>0</v>
      </c>
      <c r="F186" s="119">
        <f t="shared" si="43"/>
        <v>0</v>
      </c>
      <c r="G186" s="69">
        <f>Request!L25</f>
        <v>12</v>
      </c>
      <c r="H186" s="69" t="e">
        <f>IF(#REF!="No",(Request!F25*B186/12*Request!$L25),(Request!F25*Worksheet!B186))</f>
        <v>#REF!</v>
      </c>
      <c r="I186" s="69" t="e">
        <f>IF(#REF!="No",(Request!G25*C186/12*Request!$L25),(Request!G25*Worksheet!C186))</f>
        <v>#REF!</v>
      </c>
      <c r="J186" s="69" t="e">
        <f>IF(#REF!="No",(Request!H25*D186/12*Request!$L25),(Request!H25*Worksheet!D186))</f>
        <v>#REF!</v>
      </c>
      <c r="K186" s="69" t="e">
        <f>IF(#REF!="No",(Request!I25*E186/12*Request!$L25),(Request!I25*Worksheet!E186))</f>
        <v>#REF!</v>
      </c>
      <c r="L186" s="69" t="e">
        <f>IF(#REF!="No",(Request!J25*F186/12*Request!$L25),(Request!J25*Worksheet!F186))</f>
        <v>#REF!</v>
      </c>
    </row>
    <row r="187" spans="1:12" x14ac:dyDescent="0.15">
      <c r="A187" s="40">
        <f>Request!B26</f>
        <v>0</v>
      </c>
      <c r="B187" s="119">
        <f t="shared" si="39"/>
        <v>12</v>
      </c>
      <c r="C187" s="119">
        <f t="shared" si="40"/>
        <v>0</v>
      </c>
      <c r="D187" s="119">
        <f t="shared" si="41"/>
        <v>0</v>
      </c>
      <c r="E187" s="119">
        <f t="shared" si="42"/>
        <v>0</v>
      </c>
      <c r="F187" s="119">
        <f t="shared" si="43"/>
        <v>0</v>
      </c>
      <c r="G187" s="69">
        <f>Request!L26</f>
        <v>12</v>
      </c>
      <c r="H187" s="69" t="e">
        <f>IF(#REF!="No",(Request!F26*B187/12*Request!$L26),(Request!F26*Worksheet!B187))</f>
        <v>#REF!</v>
      </c>
      <c r="I187" s="69" t="e">
        <f>IF(#REF!="No",(Request!G26*C187/12*Request!$L26),(Request!G26*Worksheet!C187))</f>
        <v>#REF!</v>
      </c>
      <c r="J187" s="69" t="e">
        <f>IF(#REF!="No",(Request!H26*D187/12*Request!$L26),(Request!H26*Worksheet!D187))</f>
        <v>#REF!</v>
      </c>
      <c r="K187" s="69" t="e">
        <f>IF(#REF!="No",(Request!I26*E187/12*Request!$L26),(Request!I26*Worksheet!E187))</f>
        <v>#REF!</v>
      </c>
      <c r="L187" s="69" t="e">
        <f>IF(#REF!="No",(Request!J26*F187/12*Request!$L26),(Request!J26*Worksheet!F187))</f>
        <v>#REF!</v>
      </c>
    </row>
    <row r="188" spans="1:12" x14ac:dyDescent="0.15">
      <c r="A188" s="40">
        <f>Request!B27</f>
        <v>0</v>
      </c>
      <c r="B188" s="119">
        <f t="shared" si="39"/>
        <v>12</v>
      </c>
      <c r="C188" s="119">
        <f t="shared" si="40"/>
        <v>0</v>
      </c>
      <c r="D188" s="119">
        <f t="shared" si="41"/>
        <v>0</v>
      </c>
      <c r="E188" s="119">
        <f t="shared" si="42"/>
        <v>0</v>
      </c>
      <c r="F188" s="119">
        <f t="shared" si="43"/>
        <v>0</v>
      </c>
      <c r="G188" s="69">
        <f>Request!L27</f>
        <v>12</v>
      </c>
      <c r="H188" s="69" t="e">
        <f>IF(#REF!="No",(Request!F27*B188/12*Request!$L27),(Request!F27*Worksheet!B188))</f>
        <v>#REF!</v>
      </c>
      <c r="I188" s="69" t="e">
        <f>IF(#REF!="No",(Request!G27*C188/12*Request!$L27),(Request!G27*Worksheet!C188))</f>
        <v>#REF!</v>
      </c>
      <c r="J188" s="69" t="e">
        <f>IF(#REF!="No",(Request!H27*D188/12*Request!$L27),(Request!H27*Worksheet!D188))</f>
        <v>#REF!</v>
      </c>
      <c r="K188" s="69" t="e">
        <f>IF(#REF!="No",(Request!I27*E188/12*Request!$L27),(Request!I27*Worksheet!E188))</f>
        <v>#REF!</v>
      </c>
      <c r="L188" s="69" t="e">
        <f>IF(#REF!="No",(Request!J27*F188/12*Request!$L27),(Request!J27*Worksheet!F188))</f>
        <v>#REF!</v>
      </c>
    </row>
    <row r="189" spans="1:12" x14ac:dyDescent="0.15">
      <c r="A189" s="40">
        <f>Request!B28</f>
        <v>0</v>
      </c>
      <c r="B189" s="119">
        <f t="shared" si="39"/>
        <v>12</v>
      </c>
      <c r="C189" s="119">
        <f t="shared" si="40"/>
        <v>0</v>
      </c>
      <c r="D189" s="119">
        <f t="shared" si="41"/>
        <v>0</v>
      </c>
      <c r="E189" s="119">
        <f t="shared" si="42"/>
        <v>0</v>
      </c>
      <c r="F189" s="119">
        <f t="shared" si="43"/>
        <v>0</v>
      </c>
      <c r="G189" s="69">
        <f>Request!L28</f>
        <v>12</v>
      </c>
      <c r="H189" s="69" t="e">
        <f>IF(#REF!="No",(Request!F28*B189/12*Request!$L28),(Request!F28*Worksheet!B189))</f>
        <v>#REF!</v>
      </c>
      <c r="I189" s="69" t="e">
        <f>IF(#REF!="No",(Request!G28*C189/12*Request!$L28),(Request!G28*Worksheet!C189))</f>
        <v>#REF!</v>
      </c>
      <c r="J189" s="69" t="e">
        <f>IF(#REF!="No",(Request!H28*D189/12*Request!$L28),(Request!H28*Worksheet!D189))</f>
        <v>#REF!</v>
      </c>
      <c r="K189" s="69" t="e">
        <f>IF(#REF!="No",(Request!I28*E189/12*Request!$L28),(Request!I28*Worksheet!E189))</f>
        <v>#REF!</v>
      </c>
      <c r="L189" s="69" t="e">
        <f>IF(#REF!="No",(Request!J28*F189/12*Request!$L28),(Request!J28*Worksheet!F189))</f>
        <v>#REF!</v>
      </c>
    </row>
    <row r="190" spans="1:12" x14ac:dyDescent="0.15">
      <c r="A190" s="40">
        <f>Request!B29</f>
        <v>0</v>
      </c>
      <c r="B190" s="119">
        <f t="shared" si="39"/>
        <v>12</v>
      </c>
      <c r="C190" s="119">
        <f t="shared" si="40"/>
        <v>0</v>
      </c>
      <c r="D190" s="119">
        <f t="shared" si="41"/>
        <v>0</v>
      </c>
      <c r="E190" s="119">
        <f t="shared" si="42"/>
        <v>0</v>
      </c>
      <c r="F190" s="119">
        <f t="shared" si="43"/>
        <v>0</v>
      </c>
      <c r="G190" s="69">
        <f>Request!L29</f>
        <v>12</v>
      </c>
      <c r="H190" s="69" t="e">
        <f>IF(#REF!="No",(Request!F29*B190/12*Request!$L29),(Request!F29*Worksheet!B190))</f>
        <v>#REF!</v>
      </c>
      <c r="I190" s="69" t="e">
        <f>IF(#REF!="No",(Request!G29*C190/12*Request!$L29),(Request!G29*Worksheet!C190))</f>
        <v>#REF!</v>
      </c>
      <c r="J190" s="69" t="e">
        <f>IF(#REF!="No",(Request!H29*D190/12*Request!$L29),(Request!H29*Worksheet!D190))</f>
        <v>#REF!</v>
      </c>
      <c r="K190" s="69" t="e">
        <f>IF(#REF!="No",(Request!I29*E190/12*Request!$L29),(Request!I29*Worksheet!E190))</f>
        <v>#REF!</v>
      </c>
      <c r="L190" s="69" t="e">
        <f>IF(#REF!="No",(Request!J29*F190/12*Request!$L29),(Request!J29*Worksheet!F190))</f>
        <v>#REF!</v>
      </c>
    </row>
    <row r="191" spans="1:12" x14ac:dyDescent="0.15">
      <c r="A191" s="40">
        <f>Request!B30</f>
        <v>0</v>
      </c>
      <c r="B191" s="119">
        <f t="shared" si="39"/>
        <v>12</v>
      </c>
      <c r="C191" s="119">
        <f t="shared" si="40"/>
        <v>0</v>
      </c>
      <c r="D191" s="119">
        <f t="shared" si="41"/>
        <v>0</v>
      </c>
      <c r="E191" s="119">
        <f t="shared" si="42"/>
        <v>0</v>
      </c>
      <c r="F191" s="119">
        <f t="shared" si="43"/>
        <v>0</v>
      </c>
      <c r="G191" s="69">
        <f>Request!L30</f>
        <v>12</v>
      </c>
      <c r="H191" s="69" t="e">
        <f>IF(#REF!="No",(Request!F30*B191/12*Request!$L30),(Request!F30*Worksheet!B191))</f>
        <v>#REF!</v>
      </c>
      <c r="I191" s="69" t="e">
        <f>IF(#REF!="No",(Request!G30*C191/12*Request!$L30),(Request!G30*Worksheet!C191))</f>
        <v>#REF!</v>
      </c>
      <c r="J191" s="69" t="e">
        <f>IF(#REF!="No",(Request!H30*D191/12*Request!$L30),(Request!H30*Worksheet!D191))</f>
        <v>#REF!</v>
      </c>
      <c r="K191" s="69" t="e">
        <f>IF(#REF!="No",(Request!I30*E191/12*Request!$L30),(Request!I30*Worksheet!E191))</f>
        <v>#REF!</v>
      </c>
      <c r="L191" s="69" t="e">
        <f>IF(#REF!="No",(Request!J30*F191/12*Request!$L30),(Request!J30*Worksheet!F191))</f>
        <v>#REF!</v>
      </c>
    </row>
    <row r="192" spans="1:12" x14ac:dyDescent="0.15">
      <c r="A192" s="40">
        <f>Request!B31</f>
        <v>0</v>
      </c>
      <c r="B192" s="119">
        <f t="shared" si="39"/>
        <v>12</v>
      </c>
      <c r="C192" s="119">
        <f t="shared" si="40"/>
        <v>0</v>
      </c>
      <c r="D192" s="119">
        <f t="shared" si="41"/>
        <v>0</v>
      </c>
      <c r="E192" s="119">
        <f t="shared" si="42"/>
        <v>0</v>
      </c>
      <c r="F192" s="119">
        <f t="shared" si="43"/>
        <v>0</v>
      </c>
      <c r="G192" s="69">
        <f>Request!L31</f>
        <v>12</v>
      </c>
      <c r="H192" s="69" t="e">
        <f>IF(#REF!="No",(Request!F31*B192/12*Request!$L31),(Request!F31*Worksheet!B192))</f>
        <v>#REF!</v>
      </c>
      <c r="I192" s="69" t="e">
        <f>IF(#REF!="No",(Request!G31*C192/12*Request!$L31),(Request!G31*Worksheet!C192))</f>
        <v>#REF!</v>
      </c>
      <c r="J192" s="69" t="e">
        <f>IF(#REF!="No",(Request!H31*D192/12*Request!$L31),(Request!H31*Worksheet!D192))</f>
        <v>#REF!</v>
      </c>
      <c r="K192" s="69" t="e">
        <f>IF(#REF!="No",(Request!I31*E192/12*Request!$L31),(Request!I31*Worksheet!E192))</f>
        <v>#REF!</v>
      </c>
      <c r="L192" s="69" t="e">
        <f>IF(#REF!="No",(Request!J31*F192/12*Request!$L31),(Request!J31*Worksheet!F192))</f>
        <v>#REF!</v>
      </c>
    </row>
    <row r="193" spans="1:12" x14ac:dyDescent="0.15">
      <c r="A193" s="40">
        <f>Request!B32</f>
        <v>0</v>
      </c>
      <c r="B193" s="119">
        <f t="shared" si="39"/>
        <v>12</v>
      </c>
      <c r="C193" s="119">
        <f t="shared" si="40"/>
        <v>0</v>
      </c>
      <c r="D193" s="119">
        <f t="shared" si="41"/>
        <v>0</v>
      </c>
      <c r="E193" s="119">
        <f t="shared" si="42"/>
        <v>0</v>
      </c>
      <c r="F193" s="119">
        <f t="shared" si="43"/>
        <v>0</v>
      </c>
      <c r="G193" s="69">
        <f>Request!L32</f>
        <v>12</v>
      </c>
      <c r="H193" s="69" t="e">
        <f>IF(#REF!="No",(Request!F32*B193/12*Request!$L32),(Request!F32*Worksheet!B193))</f>
        <v>#REF!</v>
      </c>
      <c r="I193" s="69" t="e">
        <f>IF(#REF!="No",(Request!G32*C193/12*Request!$L32),(Request!G32*Worksheet!C193))</f>
        <v>#REF!</v>
      </c>
      <c r="J193" s="69" t="e">
        <f>IF(#REF!="No",(Request!H32*D193/12*Request!$L32),(Request!H32*Worksheet!D193))</f>
        <v>#REF!</v>
      </c>
      <c r="K193" s="69" t="e">
        <f>IF(#REF!="No",(Request!I32*E193/12*Request!$L32),(Request!I32*Worksheet!E193))</f>
        <v>#REF!</v>
      </c>
      <c r="L193" s="69" t="e">
        <f>IF(#REF!="No",(Request!J32*F193/12*Request!$L32),(Request!J32*Worksheet!F193))</f>
        <v>#REF!</v>
      </c>
    </row>
    <row r="194" spans="1:12" x14ac:dyDescent="0.15">
      <c r="A194" s="40">
        <f>Request!B33</f>
        <v>0</v>
      </c>
      <c r="B194" s="119">
        <f t="shared" si="39"/>
        <v>12</v>
      </c>
      <c r="C194" s="119">
        <f t="shared" si="40"/>
        <v>0</v>
      </c>
      <c r="D194" s="119">
        <f t="shared" si="41"/>
        <v>0</v>
      </c>
      <c r="E194" s="119">
        <f t="shared" si="42"/>
        <v>0</v>
      </c>
      <c r="F194" s="119">
        <f t="shared" si="43"/>
        <v>0</v>
      </c>
      <c r="G194" s="69">
        <f>Request!L33</f>
        <v>12</v>
      </c>
      <c r="H194" s="69" t="e">
        <f>IF(#REF!="No",(Request!F33*B194/12*Request!$L33),(Request!F33*Worksheet!B194))</f>
        <v>#REF!</v>
      </c>
      <c r="I194" s="69" t="e">
        <f>IF(#REF!="No",(Request!G33*C194/12*Request!$L33),(Request!G33*Worksheet!C194))</f>
        <v>#REF!</v>
      </c>
      <c r="J194" s="69" t="e">
        <f>IF(#REF!="No",(Request!H33*D194/12*Request!$L33),(Request!H33*Worksheet!D194))</f>
        <v>#REF!</v>
      </c>
      <c r="K194" s="69" t="e">
        <f>IF(#REF!="No",(Request!I33*E194/12*Request!$L33),(Request!I33*Worksheet!E194))</f>
        <v>#REF!</v>
      </c>
      <c r="L194" s="69" t="e">
        <f>IF(#REF!="No",(Request!J33*F194/12*Request!$L33),(Request!J33*Worksheet!F194))</f>
        <v>#REF!</v>
      </c>
    </row>
    <row r="195" spans="1:12" x14ac:dyDescent="0.15">
      <c r="A195" s="40">
        <f>Request!B34</f>
        <v>0</v>
      </c>
      <c r="B195" s="119">
        <f t="shared" si="39"/>
        <v>12</v>
      </c>
      <c r="C195" s="119">
        <f t="shared" si="40"/>
        <v>0</v>
      </c>
      <c r="D195" s="119">
        <f t="shared" si="41"/>
        <v>0</v>
      </c>
      <c r="E195" s="119">
        <f t="shared" si="42"/>
        <v>0</v>
      </c>
      <c r="F195" s="119">
        <f t="shared" si="43"/>
        <v>0</v>
      </c>
      <c r="G195" s="69">
        <f>Request!L34</f>
        <v>12</v>
      </c>
      <c r="H195" s="69" t="e">
        <f>IF(#REF!="No",(Request!F34*B195/12*Request!$L34),(Request!F34*Worksheet!B195))</f>
        <v>#REF!</v>
      </c>
      <c r="I195" s="69" t="e">
        <f>IF(#REF!="No",(Request!G34*C195/12*Request!$L34),(Request!G34*Worksheet!C195))</f>
        <v>#REF!</v>
      </c>
      <c r="J195" s="69" t="e">
        <f>IF(#REF!="No",(Request!H34*D195/12*Request!$L34),(Request!H34*Worksheet!D195))</f>
        <v>#REF!</v>
      </c>
      <c r="K195" s="69" t="e">
        <f>IF(#REF!="No",(Request!I34*E195/12*Request!$L34),(Request!I34*Worksheet!E195))</f>
        <v>#REF!</v>
      </c>
      <c r="L195" s="69" t="e">
        <f>IF(#REF!="No",(Request!J34*F195/12*Request!$L34),(Request!J34*Worksheet!F195))</f>
        <v>#REF!</v>
      </c>
    </row>
    <row r="196" spans="1:12" x14ac:dyDescent="0.15">
      <c r="A196" s="40">
        <f>Request!B35</f>
        <v>0</v>
      </c>
      <c r="B196" s="119">
        <f t="shared" si="39"/>
        <v>12</v>
      </c>
      <c r="C196" s="119">
        <f t="shared" si="40"/>
        <v>0</v>
      </c>
      <c r="D196" s="119">
        <f t="shared" si="41"/>
        <v>0</v>
      </c>
      <c r="E196" s="119">
        <f t="shared" si="42"/>
        <v>0</v>
      </c>
      <c r="F196" s="119">
        <f t="shared" si="43"/>
        <v>0</v>
      </c>
      <c r="G196" s="69">
        <f>Request!L35</f>
        <v>12</v>
      </c>
      <c r="H196" s="69" t="e">
        <f>IF(#REF!="No",(Request!F35*B196/12*Request!$L35),(Request!F35*Worksheet!B196))</f>
        <v>#REF!</v>
      </c>
      <c r="I196" s="69" t="e">
        <f>IF(#REF!="No",(Request!G35*C196/12*Request!$L35),(Request!G35*Worksheet!C196))</f>
        <v>#REF!</v>
      </c>
      <c r="J196" s="69" t="e">
        <f>IF(#REF!="No",(Request!H35*D196/12*Request!$L35),(Request!H35*Worksheet!D196))</f>
        <v>#REF!</v>
      </c>
      <c r="K196" s="69" t="e">
        <f>IF(#REF!="No",(Request!I35*E196/12*Request!$L35),(Request!I35*Worksheet!E196))</f>
        <v>#REF!</v>
      </c>
      <c r="L196" s="69" t="e">
        <f>IF(#REF!="No",(Request!J35*F196/12*Request!$L35),(Request!J35*Worksheet!F196))</f>
        <v>#REF!</v>
      </c>
    </row>
    <row r="197" spans="1:12" x14ac:dyDescent="0.15">
      <c r="A197" s="40">
        <f>Request!B36</f>
        <v>0</v>
      </c>
      <c r="B197" s="119">
        <f t="shared" si="39"/>
        <v>12</v>
      </c>
      <c r="C197" s="119">
        <f t="shared" si="40"/>
        <v>0</v>
      </c>
      <c r="D197" s="119">
        <f t="shared" si="41"/>
        <v>0</v>
      </c>
      <c r="E197" s="119">
        <f t="shared" si="42"/>
        <v>0</v>
      </c>
      <c r="F197" s="119">
        <f t="shared" si="43"/>
        <v>0</v>
      </c>
      <c r="G197" s="69">
        <f>Request!L36</f>
        <v>12</v>
      </c>
      <c r="H197" s="69" t="e">
        <f>IF(#REF!="No",(Request!F36*B197/12*Request!$L36),(Request!F36*Worksheet!B197))</f>
        <v>#REF!</v>
      </c>
      <c r="I197" s="69" t="e">
        <f>IF(#REF!="No",(Request!G36*C197/12*Request!$L36),(Request!G36*Worksheet!C197))</f>
        <v>#REF!</v>
      </c>
      <c r="J197" s="69" t="e">
        <f>IF(#REF!="No",(Request!H36*D197/12*Request!$L36),(Request!H36*Worksheet!D197))</f>
        <v>#REF!</v>
      </c>
      <c r="K197" s="69" t="e">
        <f>IF(#REF!="No",(Request!I36*E197/12*Request!$L36),(Request!I36*Worksheet!E197))</f>
        <v>#REF!</v>
      </c>
      <c r="L197" s="69" t="e">
        <f>IF(#REF!="No",(Request!J36*F197/12*Request!$L36),(Request!J36*Worksheet!F197))</f>
        <v>#REF!</v>
      </c>
    </row>
    <row r="198" spans="1:12" x14ac:dyDescent="0.15">
      <c r="A198" s="40">
        <f>Request!B37</f>
        <v>0</v>
      </c>
      <c r="B198" s="119">
        <f t="shared" si="39"/>
        <v>12</v>
      </c>
      <c r="C198" s="119">
        <f t="shared" si="40"/>
        <v>0</v>
      </c>
      <c r="D198" s="119">
        <f t="shared" si="41"/>
        <v>0</v>
      </c>
      <c r="E198" s="119">
        <f t="shared" si="42"/>
        <v>0</v>
      </c>
      <c r="F198" s="119">
        <f t="shared" si="43"/>
        <v>0</v>
      </c>
      <c r="G198" s="69">
        <f>Request!L37</f>
        <v>12</v>
      </c>
      <c r="H198" s="69" t="e">
        <f>IF(#REF!="No",(Request!F37*B198/12*Request!$L37),(Request!F37*Worksheet!B198))</f>
        <v>#REF!</v>
      </c>
      <c r="I198" s="69" t="e">
        <f>IF(#REF!="No",(Request!G37*C198/12*Request!$L37),(Request!G37*Worksheet!C198))</f>
        <v>#REF!</v>
      </c>
      <c r="J198" s="69" t="e">
        <f>IF(#REF!="No",(Request!H37*D198/12*Request!$L37),(Request!H37*Worksheet!D198))</f>
        <v>#REF!</v>
      </c>
      <c r="K198" s="69" t="e">
        <f>IF(#REF!="No",(Request!I37*E198/12*Request!$L37),(Request!I37*Worksheet!E198))</f>
        <v>#REF!</v>
      </c>
      <c r="L198" s="69" t="e">
        <f>IF(#REF!="No",(Request!J37*F198/12*Request!$L37),(Request!J37*Worksheet!F198))</f>
        <v>#REF!</v>
      </c>
    </row>
    <row r="199" spans="1:12" x14ac:dyDescent="0.15">
      <c r="A199" s="40">
        <f>Request!B38</f>
        <v>0</v>
      </c>
      <c r="B199" s="119">
        <f t="shared" si="39"/>
        <v>12</v>
      </c>
      <c r="C199" s="119">
        <f t="shared" si="40"/>
        <v>0</v>
      </c>
      <c r="D199" s="119">
        <f t="shared" si="41"/>
        <v>0</v>
      </c>
      <c r="E199" s="119">
        <f t="shared" si="42"/>
        <v>0</v>
      </c>
      <c r="F199" s="119">
        <f t="shared" si="43"/>
        <v>0</v>
      </c>
      <c r="G199" s="69">
        <f>Request!L38</f>
        <v>12</v>
      </c>
      <c r="H199" s="69" t="e">
        <f>IF(#REF!="No",(Request!F38*B199/12*Request!$L38),(Request!F38*Worksheet!B199))</f>
        <v>#REF!</v>
      </c>
      <c r="I199" s="69" t="e">
        <f>IF(#REF!="No",(Request!G38*C199/12*Request!$L38),(Request!G38*Worksheet!C199))</f>
        <v>#REF!</v>
      </c>
      <c r="J199" s="69" t="e">
        <f>IF(#REF!="No",(Request!H38*D199/12*Request!$L38),(Request!H38*Worksheet!D199))</f>
        <v>#REF!</v>
      </c>
      <c r="K199" s="69" t="e">
        <f>IF(#REF!="No",(Request!I38*E199/12*Request!$L38),(Request!I38*Worksheet!E199))</f>
        <v>#REF!</v>
      </c>
      <c r="L199" s="69" t="e">
        <f>IF(#REF!="No",(Request!J38*F199/12*Request!$L38),(Request!J38*Worksheet!F199))</f>
        <v>#REF!</v>
      </c>
    </row>
    <row r="200" spans="1:12" x14ac:dyDescent="0.15">
      <c r="A200" s="40">
        <f>Request!B39</f>
        <v>0</v>
      </c>
      <c r="B200" s="119">
        <f t="shared" si="39"/>
        <v>12</v>
      </c>
      <c r="C200" s="119">
        <f t="shared" si="40"/>
        <v>0</v>
      </c>
      <c r="D200" s="119">
        <f t="shared" si="41"/>
        <v>0</v>
      </c>
      <c r="E200" s="119">
        <f t="shared" si="42"/>
        <v>0</v>
      </c>
      <c r="F200" s="119">
        <f t="shared" si="43"/>
        <v>0</v>
      </c>
      <c r="G200" s="69">
        <f>Request!L39</f>
        <v>12</v>
      </c>
      <c r="H200" s="69" t="e">
        <f>IF(#REF!="No",(Request!F39*B200/12*Request!$L39),(Request!F39*Worksheet!B200))</f>
        <v>#REF!</v>
      </c>
      <c r="I200" s="69" t="e">
        <f>IF(#REF!="No",(Request!G39*C200/12*Request!$L39),(Request!G39*Worksheet!C200))</f>
        <v>#REF!</v>
      </c>
      <c r="J200" s="69" t="e">
        <f>IF(#REF!="No",(Request!H39*D200/12*Request!$L39),(Request!H39*Worksheet!D200))</f>
        <v>#REF!</v>
      </c>
      <c r="K200" s="69" t="e">
        <f>IF(#REF!="No",(Request!I39*E200/12*Request!$L39),(Request!I39*Worksheet!E200))</f>
        <v>#REF!</v>
      </c>
      <c r="L200" s="69" t="e">
        <f>IF(#REF!="No",(Request!J39*F200/12*Request!$L39),(Request!J39*Worksheet!F200))</f>
        <v>#REF!</v>
      </c>
    </row>
    <row r="203" spans="1:12" x14ac:dyDescent="0.15">
      <c r="A203" s="1" t="s">
        <v>139</v>
      </c>
      <c r="E203" s="6" t="s">
        <v>8</v>
      </c>
      <c r="F203" s="6" t="s">
        <v>9</v>
      </c>
      <c r="G203" s="6" t="s">
        <v>10</v>
      </c>
      <c r="H203" s="6" t="s">
        <v>23</v>
      </c>
      <c r="I203" s="6" t="s">
        <v>11</v>
      </c>
    </row>
    <row r="204" spans="1:12" x14ac:dyDescent="0.15">
      <c r="A204" s="235" t="s">
        <v>136</v>
      </c>
      <c r="B204" s="233" t="s">
        <v>140</v>
      </c>
      <c r="C204" s="233"/>
      <c r="D204" s="234"/>
      <c r="E204" s="107">
        <f>C13</f>
        <v>3</v>
      </c>
      <c r="F204" s="107">
        <f t="shared" ref="F204:H204" si="44">D13</f>
        <v>0</v>
      </c>
      <c r="G204" s="107">
        <f t="shared" si="44"/>
        <v>0</v>
      </c>
      <c r="H204" s="107">
        <f t="shared" si="44"/>
        <v>0</v>
      </c>
      <c r="I204" s="107">
        <f>G13</f>
        <v>0</v>
      </c>
    </row>
    <row r="205" spans="1:12" x14ac:dyDescent="0.15">
      <c r="A205" s="236"/>
      <c r="B205" s="233" t="s">
        <v>141</v>
      </c>
      <c r="C205" s="233"/>
      <c r="D205" s="234"/>
      <c r="E205" s="107">
        <f>C14</f>
        <v>0</v>
      </c>
      <c r="F205" s="107">
        <f t="shared" ref="F205:H205" si="45">D14</f>
        <v>0</v>
      </c>
      <c r="G205" s="107">
        <f t="shared" si="45"/>
        <v>0</v>
      </c>
      <c r="H205" s="107">
        <f t="shared" si="45"/>
        <v>0</v>
      </c>
      <c r="I205" s="107">
        <f>G14</f>
        <v>0</v>
      </c>
    </row>
    <row r="206" spans="1:12" x14ac:dyDescent="0.15">
      <c r="A206" s="235" t="s">
        <v>137</v>
      </c>
      <c r="B206" s="233" t="s">
        <v>140</v>
      </c>
      <c r="C206" s="233"/>
      <c r="D206" s="234"/>
      <c r="E206" s="4">
        <f>IF(AND(MONTH(C2)=9,DAY(C2)&lt;=5),0.5,IF(AND(MONTH(C2)=7,DAY(C2)&lt;=5),2.5,IF(AND(MONTH(C2)=7,DAY(C2)&gt;5),2,IF(AND(MONTH(C2)=8,DAY(C2)&lt;=5),1.5,IF(AND(MONTH(C2)=8,DAY(C2)&gt;5),1,0)))))</f>
        <v>2.5</v>
      </c>
      <c r="F206" s="4" t="e">
        <f t="shared" ref="F206:H206" si="46">IF(AND(MONTH(D2)=9,DAY(D2)&lt;=5),0.5,IF(AND(MONTH(D2)=7,DAY(D2)&lt;=5),2.5,IF(AND(MONTH(D2)=7,DAY(D2)&gt;5),2,IF(AND(MONTH(D2)=8,DAY(D2)&lt;=5),1.5,IF(AND(MONTH(D2)=8,DAY(D2)&gt;5),1,0)))))</f>
        <v>#VALUE!</v>
      </c>
      <c r="G206" s="4" t="e">
        <f t="shared" si="46"/>
        <v>#VALUE!</v>
      </c>
      <c r="H206" s="4" t="e">
        <f t="shared" si="46"/>
        <v>#VALUE!</v>
      </c>
      <c r="I206" s="4" t="e">
        <f>IF(AND(MONTH(G2)=9,DAY(G2)&lt;=5),0.5,IF(AND(MONTH(G2)=7,DAY(G2)&lt;=5),2.5,IF(AND(MONTH(G2)=7,DAY(G2)&gt;5),2,IF(AND(MONTH(G2)=8,DAY(G2)&lt;=5),1.5,IF(AND(MONTH(G2)=8,DAY(G2)&gt;5),1,0)))))</f>
        <v>#VALUE!</v>
      </c>
    </row>
    <row r="207" spans="1:12" x14ac:dyDescent="0.15">
      <c r="A207" s="236"/>
      <c r="B207" s="233" t="s">
        <v>141</v>
      </c>
      <c r="C207" s="233"/>
      <c r="D207" s="234"/>
      <c r="E207" s="4">
        <f>2.5-E206</f>
        <v>0</v>
      </c>
      <c r="F207" s="4">
        <f>IF(D4="",0,2.5-F206)</f>
        <v>0</v>
      </c>
      <c r="G207" s="4">
        <f t="shared" ref="G207:I207" si="47">IF(E4="",0,2.5-G206)</f>
        <v>0</v>
      </c>
      <c r="H207" s="4">
        <f t="shared" si="47"/>
        <v>0</v>
      </c>
      <c r="I207" s="4">
        <f t="shared" si="47"/>
        <v>0</v>
      </c>
    </row>
    <row r="208" spans="1:12" x14ac:dyDescent="0.15">
      <c r="A208" s="235" t="s">
        <v>138</v>
      </c>
      <c r="B208" s="233" t="s">
        <v>140</v>
      </c>
      <c r="C208" s="233"/>
      <c r="D208" s="234"/>
      <c r="E208" s="4">
        <f>IF(AND(MONTH(C2)=7,DAY(C2)&lt;=5),2,IF(AND(MONTH(C2)=7,DAY(C2)&gt;5),1.5,IF(AND(MONTH(C2)=8,DAY(C2)&lt;=5),1,IF(AND(MONTH(C2)=8,DAY(C2)&gt;5),0.5,0))))</f>
        <v>2</v>
      </c>
      <c r="F208" s="4" t="e">
        <f t="shared" ref="F208:I208" si="48">IF(AND(MONTH(D2)=7,DAY(D2)&lt;=5),2,IF(AND(MONTH(D2)=7,DAY(D2)&gt;5),1.5,IF(AND(MONTH(D2)=8,DAY(D2)&lt;=5),1,IF(AND(MONTH(D2)=8,DAY(D2)&gt;5),0.5,0))))</f>
        <v>#VALUE!</v>
      </c>
      <c r="G208" s="4" t="e">
        <f t="shared" si="48"/>
        <v>#VALUE!</v>
      </c>
      <c r="H208" s="4" t="e">
        <f t="shared" si="48"/>
        <v>#VALUE!</v>
      </c>
      <c r="I208" s="4" t="e">
        <f t="shared" si="48"/>
        <v>#VALUE!</v>
      </c>
    </row>
    <row r="209" spans="1:12" x14ac:dyDescent="0.15">
      <c r="A209" s="236"/>
      <c r="B209" s="233" t="s">
        <v>141</v>
      </c>
      <c r="C209" s="233"/>
      <c r="D209" s="234"/>
      <c r="E209" s="4">
        <f>2-E208</f>
        <v>0</v>
      </c>
      <c r="F209" s="4">
        <f>IF(D4="",0,2-F208)</f>
        <v>0</v>
      </c>
      <c r="G209" s="4">
        <f t="shared" ref="G209:I209" si="49">IF(E4="",0,2-G208)</f>
        <v>0</v>
      </c>
      <c r="H209" s="4">
        <f t="shared" si="49"/>
        <v>0</v>
      </c>
      <c r="I209" s="4">
        <f t="shared" si="49"/>
        <v>0</v>
      </c>
    </row>
    <row r="210" spans="1:12" x14ac:dyDescent="0.15">
      <c r="A210" s="235" t="s">
        <v>137</v>
      </c>
      <c r="B210" s="233" t="s">
        <v>142</v>
      </c>
      <c r="C210" s="233"/>
      <c r="D210" s="234"/>
      <c r="E210" s="109">
        <f>IF(E206&gt;C9,C9,E206)</f>
        <v>2.5</v>
      </c>
      <c r="F210" s="109" t="e">
        <f>IF(F206&gt;D9,D9,F206)</f>
        <v>#VALUE!</v>
      </c>
      <c r="G210" s="109" t="e">
        <f t="shared" ref="G210:I210" si="50">IF(G206&gt;E9,E9,G206)</f>
        <v>#VALUE!</v>
      </c>
      <c r="H210" s="109" t="e">
        <f t="shared" si="50"/>
        <v>#VALUE!</v>
      </c>
      <c r="I210" s="109" t="e">
        <f t="shared" si="50"/>
        <v>#VALUE!</v>
      </c>
    </row>
    <row r="211" spans="1:12" x14ac:dyDescent="0.15">
      <c r="A211" s="236"/>
      <c r="B211" s="233" t="s">
        <v>143</v>
      </c>
      <c r="C211" s="233"/>
      <c r="D211" s="234"/>
      <c r="E211" s="109">
        <f>IF(E207&gt;C10,C10,E207)</f>
        <v>0</v>
      </c>
      <c r="F211" s="109">
        <f t="shared" ref="F211:I211" si="51">IF(F207&gt;D10,D10,F207)</f>
        <v>0</v>
      </c>
      <c r="G211" s="109">
        <f t="shared" si="51"/>
        <v>0</v>
      </c>
      <c r="H211" s="109">
        <f t="shared" si="51"/>
        <v>0</v>
      </c>
      <c r="I211" s="109">
        <f t="shared" si="51"/>
        <v>0</v>
      </c>
    </row>
    <row r="212" spans="1:12" x14ac:dyDescent="0.15">
      <c r="A212" s="235" t="s">
        <v>138</v>
      </c>
      <c r="B212" s="233" t="s">
        <v>144</v>
      </c>
      <c r="C212" s="233"/>
      <c r="D212" s="234"/>
      <c r="E212" s="109">
        <f>IF(E208&gt;C9,C9,E208)</f>
        <v>2</v>
      </c>
      <c r="F212" s="109" t="e">
        <f t="shared" ref="F212:I212" si="52">IF(F208&gt;D9,D9,F208)</f>
        <v>#VALUE!</v>
      </c>
      <c r="G212" s="109" t="e">
        <f t="shared" si="52"/>
        <v>#VALUE!</v>
      </c>
      <c r="H212" s="109" t="e">
        <f t="shared" si="52"/>
        <v>#VALUE!</v>
      </c>
      <c r="I212" s="109" t="e">
        <f t="shared" si="52"/>
        <v>#VALUE!</v>
      </c>
    </row>
    <row r="213" spans="1:12" x14ac:dyDescent="0.15">
      <c r="A213" s="236"/>
      <c r="B213" s="233" t="s">
        <v>143</v>
      </c>
      <c r="C213" s="233"/>
      <c r="D213" s="234"/>
      <c r="E213" s="109">
        <f>IF(E209&gt;C10,C10,E209)</f>
        <v>0</v>
      </c>
      <c r="F213" s="109">
        <f t="shared" ref="F213:I213" si="53">IF(F209&gt;D10,D10,F209)</f>
        <v>0</v>
      </c>
      <c r="G213" s="109">
        <f t="shared" si="53"/>
        <v>0</v>
      </c>
      <c r="H213" s="109">
        <f>IF(H209&gt;F10,F10,H209)</f>
        <v>0</v>
      </c>
      <c r="I213" s="109">
        <f t="shared" si="53"/>
        <v>0</v>
      </c>
    </row>
    <row r="214" spans="1:12" x14ac:dyDescent="0.15">
      <c r="A214" s="108"/>
      <c r="B214" s="68"/>
      <c r="C214" s="68"/>
      <c r="D214" s="68"/>
      <c r="E214" s="23"/>
      <c r="F214" s="23"/>
      <c r="G214" s="23"/>
      <c r="H214" s="23"/>
      <c r="I214" s="23"/>
    </row>
    <row r="215" spans="1:12" x14ac:dyDescent="0.15">
      <c r="E215" s="77"/>
      <c r="F215" s="17"/>
      <c r="G215" s="17"/>
      <c r="H215" s="17"/>
      <c r="I215" s="17"/>
    </row>
    <row r="216" spans="1:12" x14ac:dyDescent="0.15">
      <c r="A216" s="2" t="s">
        <v>124</v>
      </c>
      <c r="E216" s="17"/>
      <c r="F216" s="17"/>
      <c r="G216" s="17"/>
      <c r="H216" s="17"/>
      <c r="I216" s="17"/>
    </row>
    <row r="217" spans="1:12" x14ac:dyDescent="0.15">
      <c r="A217" s="2"/>
      <c r="B217" s="230" t="s">
        <v>8</v>
      </c>
      <c r="C217" s="230"/>
      <c r="D217" s="230" t="s">
        <v>9</v>
      </c>
      <c r="E217" s="230"/>
      <c r="F217" s="227" t="s">
        <v>10</v>
      </c>
      <c r="G217" s="227"/>
      <c r="H217" s="227" t="s">
        <v>23</v>
      </c>
      <c r="I217" s="227"/>
      <c r="J217" s="227" t="s">
        <v>11</v>
      </c>
      <c r="K217" s="227"/>
    </row>
    <row r="218" spans="1:12" x14ac:dyDescent="0.15">
      <c r="A218" s="74" t="str">
        <f t="shared" ref="A218:A241" si="54">A177</f>
        <v xml:space="preserve">PI #1 </v>
      </c>
      <c r="B218" s="4" t="e">
        <f>IF(L218="A",IF(H177&lt;$E$204,H177,$E$204),IF(L218="B",IF(H177&lt;$E$210,H177,$E$210),IF(L218="C",IF(H177&lt;$E$212,H177,$E$212),IF(L218="D",0))))</f>
        <v>#REF!</v>
      </c>
      <c r="C218" s="69" t="e">
        <f t="shared" ref="C218:C241" si="55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69" t="e">
        <f t="shared" ref="E218:E241" si="56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69" t="e">
        <f t="shared" ref="G218:G241" si="57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69" t="e">
        <f t="shared" ref="I218:I241" si="58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69" t="e">
        <f t="shared" ref="K218:K241" si="59">L177-J218</f>
        <v>#REF!</v>
      </c>
      <c r="L218" s="1" t="e">
        <f>IF(Request!#REF!="F-SMRA","A",IF(Request!#REF!="F-SMRB","B",IF(Request!#REF!="F-SMRC","C","D")))</f>
        <v>#REF!</v>
      </c>
    </row>
    <row r="219" spans="1:12" x14ac:dyDescent="0.15">
      <c r="A219" s="75" t="str">
        <f t="shared" si="54"/>
        <v>PI #2</v>
      </c>
      <c r="B219" s="4" t="e">
        <f t="shared" ref="B219:B241" si="60">IF(L219="A",IF(H178&lt;$E$204,H178,$E$204),IF(L219="B",IF(H178&lt;$E$210,H178,$E$210),IF(L219="C",IF(H178&lt;$E$212,H178,$E$212),IF(L219="D",0))))</f>
        <v>#REF!</v>
      </c>
      <c r="C219" s="69" t="e">
        <f t="shared" si="55"/>
        <v>#REF!</v>
      </c>
      <c r="D219" s="4" t="e">
        <f t="shared" ref="D219:D241" si="61">IF(L219="A",IF(I178&lt;$F$204,I178,$F$204),IF(L219="B",IF(I178&lt;$F$210,I178,$F$210),IF(L219="C",IF(I178&lt;$F$212,I178,$F$212),IF(L219="D",0))))</f>
        <v>#REF!</v>
      </c>
      <c r="E219" s="69" t="e">
        <f t="shared" si="56"/>
        <v>#REF!</v>
      </c>
      <c r="F219" s="4" t="e">
        <f t="shared" ref="F219:F241" si="62">IF(L219="A",IF(J178&lt;$G$204,J178,$G$204),IF(L219="B",IF(J178&lt;$G$210,J178,$G$210),IF(L219="C",IF(J178&lt;$G$212,J178,$G$212),IF(L219="D",0))))</f>
        <v>#REF!</v>
      </c>
      <c r="G219" s="69" t="e">
        <f t="shared" si="57"/>
        <v>#REF!</v>
      </c>
      <c r="H219" s="4" t="e">
        <f t="shared" ref="H219:H241" si="63">IF(L219="A",IF(K178&lt;$H$204,K178,$H$204),IF(L219="B",IF(K178&lt;$H$210,K178,$H$210),IF(L219="C",IF(K178&lt;$H$212,K178,$H$212),IF(L219="D",0))))</f>
        <v>#REF!</v>
      </c>
      <c r="I219" s="69" t="e">
        <f t="shared" si="58"/>
        <v>#REF!</v>
      </c>
      <c r="J219" s="4" t="e">
        <f t="shared" ref="J219:J241" si="64">IF(L219="A",IF(L178&lt;$I$204,L178,$I$204),IF(L219="B",IF(L178&lt;$I$210,L178,$I$210),IF(L219="C",IF(L178&lt;$I$212,L178,$I$212),IF(L219="D",0))))</f>
        <v>#REF!</v>
      </c>
      <c r="K219" s="69" t="e">
        <f t="shared" si="59"/>
        <v>#REF!</v>
      </c>
      <c r="L219" s="1" t="e">
        <f>IF(Request!#REF!="F-SMRA","A",IF(Request!#REF!="F-SMRB","B",IF(Request!#REF!="F-SMRC","C","D")))</f>
        <v>#REF!</v>
      </c>
    </row>
    <row r="220" spans="1:12" x14ac:dyDescent="0.15">
      <c r="A220" s="75" t="str">
        <f t="shared" si="54"/>
        <v>TBN</v>
      </c>
      <c r="B220" s="4" t="e">
        <f t="shared" si="60"/>
        <v>#REF!</v>
      </c>
      <c r="C220" s="69" t="e">
        <f t="shared" si="55"/>
        <v>#REF!</v>
      </c>
      <c r="D220" s="4" t="e">
        <f t="shared" si="61"/>
        <v>#REF!</v>
      </c>
      <c r="E220" s="69" t="e">
        <f t="shared" si="56"/>
        <v>#REF!</v>
      </c>
      <c r="F220" s="4" t="e">
        <f t="shared" si="62"/>
        <v>#REF!</v>
      </c>
      <c r="G220" s="69" t="e">
        <f t="shared" si="57"/>
        <v>#REF!</v>
      </c>
      <c r="H220" s="4" t="e">
        <f t="shared" si="63"/>
        <v>#REF!</v>
      </c>
      <c r="I220" s="69" t="e">
        <f t="shared" si="58"/>
        <v>#REF!</v>
      </c>
      <c r="J220" s="4" t="e">
        <f t="shared" si="64"/>
        <v>#REF!</v>
      </c>
      <c r="K220" s="69" t="e">
        <f t="shared" si="59"/>
        <v>#REF!</v>
      </c>
      <c r="L220" s="1" t="e">
        <f>IF(Request!#REF!="F-SMRA","A",IF(Request!#REF!="F-SMRB","B",IF(Request!#REF!="F-SMRC","C","D")))</f>
        <v>#REF!</v>
      </c>
    </row>
    <row r="221" spans="1:12" x14ac:dyDescent="0.15">
      <c r="A221" s="75" t="str">
        <f t="shared" si="54"/>
        <v>TBN</v>
      </c>
      <c r="B221" s="4" t="e">
        <f t="shared" si="60"/>
        <v>#REF!</v>
      </c>
      <c r="C221" s="69" t="e">
        <f t="shared" si="55"/>
        <v>#REF!</v>
      </c>
      <c r="D221" s="4" t="e">
        <f t="shared" si="61"/>
        <v>#REF!</v>
      </c>
      <c r="E221" s="69" t="e">
        <f t="shared" si="56"/>
        <v>#REF!</v>
      </c>
      <c r="F221" s="4" t="e">
        <f t="shared" si="62"/>
        <v>#REF!</v>
      </c>
      <c r="G221" s="69" t="e">
        <f t="shared" si="57"/>
        <v>#REF!</v>
      </c>
      <c r="H221" s="4" t="e">
        <f t="shared" si="63"/>
        <v>#REF!</v>
      </c>
      <c r="I221" s="69" t="e">
        <f t="shared" si="58"/>
        <v>#REF!</v>
      </c>
      <c r="J221" s="4" t="e">
        <f t="shared" si="64"/>
        <v>#REF!</v>
      </c>
      <c r="K221" s="69" t="e">
        <f t="shared" si="59"/>
        <v>#REF!</v>
      </c>
      <c r="L221" s="1" t="e">
        <f>IF(Request!#REF!="F-SMRA","A",IF(Request!#REF!="F-SMRB","B",IF(Request!#REF!="F-SMRC","C","D")))</f>
        <v>#REF!</v>
      </c>
    </row>
    <row r="222" spans="1:12" x14ac:dyDescent="0.15">
      <c r="A222" s="75">
        <f t="shared" si="54"/>
        <v>0</v>
      </c>
      <c r="B222" s="4" t="e">
        <f t="shared" si="60"/>
        <v>#REF!</v>
      </c>
      <c r="C222" s="69" t="e">
        <f t="shared" si="55"/>
        <v>#REF!</v>
      </c>
      <c r="D222" s="4" t="e">
        <f t="shared" si="61"/>
        <v>#REF!</v>
      </c>
      <c r="E222" s="69" t="e">
        <f t="shared" si="56"/>
        <v>#REF!</v>
      </c>
      <c r="F222" s="4" t="e">
        <f t="shared" si="62"/>
        <v>#REF!</v>
      </c>
      <c r="G222" s="69" t="e">
        <f t="shared" si="57"/>
        <v>#REF!</v>
      </c>
      <c r="H222" s="4" t="e">
        <f t="shared" si="63"/>
        <v>#REF!</v>
      </c>
      <c r="I222" s="69" t="e">
        <f t="shared" si="58"/>
        <v>#REF!</v>
      </c>
      <c r="J222" s="4" t="e">
        <f t="shared" si="64"/>
        <v>#REF!</v>
      </c>
      <c r="K222" s="69" t="e">
        <f t="shared" si="59"/>
        <v>#REF!</v>
      </c>
      <c r="L222" s="1" t="e">
        <f>IF(Request!#REF!="F-SMRA","A",IF(Request!#REF!="F-SMRB","B",IF(Request!#REF!="F-SMRC","C","D")))</f>
        <v>#REF!</v>
      </c>
    </row>
    <row r="223" spans="1:12" x14ac:dyDescent="0.15">
      <c r="A223" s="75">
        <f t="shared" si="54"/>
        <v>0</v>
      </c>
      <c r="B223" s="4" t="e">
        <f t="shared" si="60"/>
        <v>#REF!</v>
      </c>
      <c r="C223" s="69" t="e">
        <f t="shared" si="55"/>
        <v>#REF!</v>
      </c>
      <c r="D223" s="4" t="e">
        <f t="shared" si="61"/>
        <v>#REF!</v>
      </c>
      <c r="E223" s="69" t="e">
        <f t="shared" si="56"/>
        <v>#REF!</v>
      </c>
      <c r="F223" s="4" t="e">
        <f t="shared" si="62"/>
        <v>#REF!</v>
      </c>
      <c r="G223" s="69" t="e">
        <f t="shared" si="57"/>
        <v>#REF!</v>
      </c>
      <c r="H223" s="4" t="e">
        <f t="shared" si="63"/>
        <v>#REF!</v>
      </c>
      <c r="I223" s="69" t="e">
        <f t="shared" si="58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69" t="e">
        <f t="shared" si="59"/>
        <v>#REF!</v>
      </c>
      <c r="L223" s="1" t="e">
        <f>IF(Request!#REF!="F-SMRA","A",IF(Request!#REF!="F-SMRB","B",IF(Request!#REF!="F-SMRC","C","D")))</f>
        <v>#REF!</v>
      </c>
    </row>
    <row r="224" spans="1:12" x14ac:dyDescent="0.15">
      <c r="A224" s="75">
        <f t="shared" si="54"/>
        <v>0</v>
      </c>
      <c r="B224" s="4">
        <f t="shared" si="60"/>
        <v>0</v>
      </c>
      <c r="C224" s="69" t="e">
        <f t="shared" si="55"/>
        <v>#REF!</v>
      </c>
      <c r="D224" s="4">
        <f t="shared" si="61"/>
        <v>0</v>
      </c>
      <c r="E224" s="69" t="e">
        <f t="shared" si="56"/>
        <v>#REF!</v>
      </c>
      <c r="F224" s="4">
        <f t="shared" si="62"/>
        <v>0</v>
      </c>
      <c r="G224" s="69" t="e">
        <f t="shared" si="57"/>
        <v>#REF!</v>
      </c>
      <c r="H224" s="4">
        <f t="shared" si="63"/>
        <v>0</v>
      </c>
      <c r="I224" s="69" t="e">
        <f t="shared" si="58"/>
        <v>#REF!</v>
      </c>
      <c r="J224" s="4">
        <f t="shared" si="64"/>
        <v>0</v>
      </c>
      <c r="K224" s="69" t="e">
        <f t="shared" si="59"/>
        <v>#REF!</v>
      </c>
      <c r="L224" s="1" t="str">
        <f>IF(Request!D49="F-SMRA","A",IF(Request!D49="F-SMRB","B",IF(Request!D49="F-SMRC","C","D")))</f>
        <v>D</v>
      </c>
    </row>
    <row r="225" spans="1:12" x14ac:dyDescent="0.15">
      <c r="A225" s="75">
        <f t="shared" si="54"/>
        <v>0</v>
      </c>
      <c r="B225" s="4">
        <f t="shared" si="60"/>
        <v>0</v>
      </c>
      <c r="C225" s="69" t="e">
        <f t="shared" si="55"/>
        <v>#REF!</v>
      </c>
      <c r="D225" s="4">
        <f t="shared" si="61"/>
        <v>0</v>
      </c>
      <c r="E225" s="69" t="e">
        <f t="shared" si="56"/>
        <v>#REF!</v>
      </c>
      <c r="F225" s="4">
        <f t="shared" si="62"/>
        <v>0</v>
      </c>
      <c r="G225" s="69" t="e">
        <f t="shared" si="57"/>
        <v>#REF!</v>
      </c>
      <c r="H225" s="4">
        <f t="shared" si="63"/>
        <v>0</v>
      </c>
      <c r="I225" s="69" t="e">
        <f t="shared" si="58"/>
        <v>#REF!</v>
      </c>
      <c r="J225" s="4">
        <f t="shared" si="64"/>
        <v>0</v>
      </c>
      <c r="K225" s="69" t="e">
        <f t="shared" si="59"/>
        <v>#REF!</v>
      </c>
      <c r="L225" s="1" t="str">
        <f>IF(Request!D50="F-SMRA","A",IF(Request!D50="F-SMRB","B",IF(Request!D50="F-SMRC","C","D")))</f>
        <v>D</v>
      </c>
    </row>
    <row r="226" spans="1:12" x14ac:dyDescent="0.15">
      <c r="A226" s="75">
        <f t="shared" si="54"/>
        <v>0</v>
      </c>
      <c r="B226" s="4">
        <f t="shared" si="60"/>
        <v>0</v>
      </c>
      <c r="C226" s="69" t="e">
        <f t="shared" si="55"/>
        <v>#REF!</v>
      </c>
      <c r="D226" s="4">
        <f t="shared" si="61"/>
        <v>0</v>
      </c>
      <c r="E226" s="69" t="e">
        <f t="shared" si="56"/>
        <v>#REF!</v>
      </c>
      <c r="F226" s="4">
        <f t="shared" si="62"/>
        <v>0</v>
      </c>
      <c r="G226" s="69" t="e">
        <f t="shared" si="57"/>
        <v>#REF!</v>
      </c>
      <c r="H226" s="4">
        <f t="shared" si="63"/>
        <v>0</v>
      </c>
      <c r="I226" s="69" t="e">
        <f t="shared" si="58"/>
        <v>#REF!</v>
      </c>
      <c r="J226" s="4">
        <f t="shared" si="64"/>
        <v>0</v>
      </c>
      <c r="K226" s="69" t="e">
        <f t="shared" si="59"/>
        <v>#REF!</v>
      </c>
      <c r="L226" s="1" t="str">
        <f>IF(Request!D51="F-SMRA","A",IF(Request!D51="F-SMRB","B",IF(Request!D51="F-SMRC","C","D")))</f>
        <v>D</v>
      </c>
    </row>
    <row r="227" spans="1:12" x14ac:dyDescent="0.15">
      <c r="A227" s="75">
        <f t="shared" si="54"/>
        <v>0</v>
      </c>
      <c r="B227" s="4">
        <f t="shared" si="60"/>
        <v>0</v>
      </c>
      <c r="C227" s="69" t="e">
        <f t="shared" si="55"/>
        <v>#REF!</v>
      </c>
      <c r="D227" s="4">
        <f t="shared" si="61"/>
        <v>0</v>
      </c>
      <c r="E227" s="69" t="e">
        <f t="shared" si="56"/>
        <v>#REF!</v>
      </c>
      <c r="F227" s="4">
        <f t="shared" si="62"/>
        <v>0</v>
      </c>
      <c r="G227" s="69" t="e">
        <f t="shared" si="57"/>
        <v>#REF!</v>
      </c>
      <c r="H227" s="4">
        <f t="shared" si="63"/>
        <v>0</v>
      </c>
      <c r="I227" s="69" t="e">
        <f t="shared" si="58"/>
        <v>#REF!</v>
      </c>
      <c r="J227" s="4">
        <f t="shared" si="64"/>
        <v>0</v>
      </c>
      <c r="K227" s="69" t="e">
        <f t="shared" si="59"/>
        <v>#REF!</v>
      </c>
      <c r="L227" s="1" t="str">
        <f>IF(Request!D52="F-SMRA","A",IF(Request!D52="F-SMRB","B",IF(Request!D52="F-SMRC","C","D")))</f>
        <v>D</v>
      </c>
    </row>
    <row r="228" spans="1:12" x14ac:dyDescent="0.15">
      <c r="A228" s="75">
        <f t="shared" si="54"/>
        <v>0</v>
      </c>
      <c r="B228" s="4">
        <f t="shared" si="60"/>
        <v>0</v>
      </c>
      <c r="C228" s="69" t="e">
        <f t="shared" si="55"/>
        <v>#REF!</v>
      </c>
      <c r="D228" s="4">
        <f t="shared" si="61"/>
        <v>0</v>
      </c>
      <c r="E228" s="69" t="e">
        <f t="shared" si="56"/>
        <v>#REF!</v>
      </c>
      <c r="F228" s="4">
        <f t="shared" si="62"/>
        <v>0</v>
      </c>
      <c r="G228" s="69" t="e">
        <f t="shared" si="57"/>
        <v>#REF!</v>
      </c>
      <c r="H228" s="4">
        <f t="shared" si="63"/>
        <v>0</v>
      </c>
      <c r="I228" s="69" t="e">
        <f t="shared" si="58"/>
        <v>#REF!</v>
      </c>
      <c r="J228" s="4">
        <f t="shared" si="64"/>
        <v>0</v>
      </c>
      <c r="K228" s="69" t="e">
        <f t="shared" si="59"/>
        <v>#REF!</v>
      </c>
      <c r="L228" s="1" t="str">
        <f>IF(Request!D53="F-SMRA","A",IF(Request!D53="F-SMRB","B",IF(Request!D53="F-SMRC","C","D")))</f>
        <v>D</v>
      </c>
    </row>
    <row r="229" spans="1:12" x14ac:dyDescent="0.15">
      <c r="A229" s="75">
        <f t="shared" si="54"/>
        <v>0</v>
      </c>
      <c r="B229" s="4">
        <f t="shared" si="60"/>
        <v>0</v>
      </c>
      <c r="C229" s="69" t="e">
        <f t="shared" si="55"/>
        <v>#REF!</v>
      </c>
      <c r="D229" s="4">
        <f t="shared" si="61"/>
        <v>0</v>
      </c>
      <c r="E229" s="69" t="e">
        <f t="shared" si="56"/>
        <v>#REF!</v>
      </c>
      <c r="F229" s="4">
        <f t="shared" si="62"/>
        <v>0</v>
      </c>
      <c r="G229" s="69" t="e">
        <f t="shared" si="57"/>
        <v>#REF!</v>
      </c>
      <c r="H229" s="4">
        <f t="shared" si="63"/>
        <v>0</v>
      </c>
      <c r="I229" s="69" t="e">
        <f t="shared" si="58"/>
        <v>#REF!</v>
      </c>
      <c r="J229" s="4">
        <f t="shared" si="64"/>
        <v>0</v>
      </c>
      <c r="K229" s="69" t="e">
        <f t="shared" si="59"/>
        <v>#REF!</v>
      </c>
      <c r="L229" s="1" t="str">
        <f>IF(Request!D54="F-SMRA","A",IF(Request!D54="F-SMRB","B",IF(Request!D54="F-SMRC","C","D")))</f>
        <v>D</v>
      </c>
    </row>
    <row r="230" spans="1:12" x14ac:dyDescent="0.15">
      <c r="A230" s="75">
        <f t="shared" si="54"/>
        <v>0</v>
      </c>
      <c r="B230" s="4">
        <f t="shared" si="60"/>
        <v>0</v>
      </c>
      <c r="C230" s="69" t="e">
        <f t="shared" si="55"/>
        <v>#REF!</v>
      </c>
      <c r="D230" s="4">
        <f t="shared" si="61"/>
        <v>0</v>
      </c>
      <c r="E230" s="69" t="e">
        <f t="shared" si="56"/>
        <v>#REF!</v>
      </c>
      <c r="F230" s="4">
        <f t="shared" si="62"/>
        <v>0</v>
      </c>
      <c r="G230" s="69" t="e">
        <f t="shared" si="57"/>
        <v>#REF!</v>
      </c>
      <c r="H230" s="4">
        <f t="shared" si="63"/>
        <v>0</v>
      </c>
      <c r="I230" s="69" t="e">
        <f t="shared" si="58"/>
        <v>#REF!</v>
      </c>
      <c r="J230" s="4">
        <f t="shared" si="64"/>
        <v>0</v>
      </c>
      <c r="K230" s="69" t="e">
        <f t="shared" si="59"/>
        <v>#REF!</v>
      </c>
      <c r="L230" s="1" t="str">
        <f>IF(Request!D55="F-SMRA","A",IF(Request!D55="F-SMRB","B",IF(Request!D55="F-SMRC","C","D")))</f>
        <v>D</v>
      </c>
    </row>
    <row r="231" spans="1:12" x14ac:dyDescent="0.15">
      <c r="A231" s="75">
        <f t="shared" si="54"/>
        <v>0</v>
      </c>
      <c r="B231" s="4">
        <f t="shared" si="60"/>
        <v>0</v>
      </c>
      <c r="C231" s="69" t="e">
        <f t="shared" si="55"/>
        <v>#REF!</v>
      </c>
      <c r="D231" s="4">
        <f t="shared" si="61"/>
        <v>0</v>
      </c>
      <c r="E231" s="69" t="e">
        <f t="shared" si="56"/>
        <v>#REF!</v>
      </c>
      <c r="F231" s="4">
        <f t="shared" si="62"/>
        <v>0</v>
      </c>
      <c r="G231" s="69" t="e">
        <f t="shared" si="57"/>
        <v>#REF!</v>
      </c>
      <c r="H231" s="4">
        <f t="shared" si="63"/>
        <v>0</v>
      </c>
      <c r="I231" s="69" t="e">
        <f t="shared" si="58"/>
        <v>#REF!</v>
      </c>
      <c r="J231" s="4">
        <f t="shared" si="64"/>
        <v>0</v>
      </c>
      <c r="K231" s="69" t="e">
        <f t="shared" si="59"/>
        <v>#REF!</v>
      </c>
      <c r="L231" s="1" t="str">
        <f>IF(Request!D56="F-SMRA","A",IF(Request!D56="F-SMRB","B",IF(Request!D56="F-SMRC","C","D")))</f>
        <v>D</v>
      </c>
    </row>
    <row r="232" spans="1:12" x14ac:dyDescent="0.15">
      <c r="A232" s="75">
        <f t="shared" si="54"/>
        <v>0</v>
      </c>
      <c r="B232" s="4">
        <f t="shared" si="60"/>
        <v>0</v>
      </c>
      <c r="C232" s="69" t="e">
        <f t="shared" si="55"/>
        <v>#REF!</v>
      </c>
      <c r="D232" s="4">
        <f t="shared" si="61"/>
        <v>0</v>
      </c>
      <c r="E232" s="69" t="e">
        <f t="shared" si="56"/>
        <v>#REF!</v>
      </c>
      <c r="F232" s="4">
        <f t="shared" si="62"/>
        <v>0</v>
      </c>
      <c r="G232" s="69" t="e">
        <f t="shared" si="57"/>
        <v>#REF!</v>
      </c>
      <c r="H232" s="4">
        <f t="shared" si="63"/>
        <v>0</v>
      </c>
      <c r="I232" s="69" t="e">
        <f t="shared" si="58"/>
        <v>#REF!</v>
      </c>
      <c r="J232" s="4">
        <f t="shared" si="64"/>
        <v>0</v>
      </c>
      <c r="K232" s="69" t="e">
        <f t="shared" si="59"/>
        <v>#REF!</v>
      </c>
      <c r="L232" s="1" t="str">
        <f>IF(Request!D57="F-SMRA","A",IF(Request!D57="F-SMRB","B",IF(Request!D57="F-SMRC","C","D")))</f>
        <v>D</v>
      </c>
    </row>
    <row r="233" spans="1:12" x14ac:dyDescent="0.15">
      <c r="A233" s="75">
        <f t="shared" si="54"/>
        <v>0</v>
      </c>
      <c r="B233" s="4">
        <f t="shared" si="60"/>
        <v>0</v>
      </c>
      <c r="C233" s="69" t="e">
        <f t="shared" si="55"/>
        <v>#REF!</v>
      </c>
      <c r="D233" s="4">
        <f t="shared" si="61"/>
        <v>0</v>
      </c>
      <c r="E233" s="69" t="e">
        <f t="shared" si="56"/>
        <v>#REF!</v>
      </c>
      <c r="F233" s="4">
        <f t="shared" si="62"/>
        <v>0</v>
      </c>
      <c r="G233" s="69" t="e">
        <f t="shared" si="57"/>
        <v>#REF!</v>
      </c>
      <c r="H233" s="4">
        <f t="shared" si="63"/>
        <v>0</v>
      </c>
      <c r="I233" s="69" t="e">
        <f t="shared" si="58"/>
        <v>#REF!</v>
      </c>
      <c r="J233" s="4">
        <f t="shared" si="64"/>
        <v>0</v>
      </c>
      <c r="K233" s="69" t="e">
        <f t="shared" si="59"/>
        <v>#REF!</v>
      </c>
      <c r="L233" s="1" t="str">
        <f>IF(Request!D58="F-SMRA","A",IF(Request!D58="F-SMRB","B",IF(Request!D58="F-SMRC","C","D")))</f>
        <v>D</v>
      </c>
    </row>
    <row r="234" spans="1:12" x14ac:dyDescent="0.15">
      <c r="A234" s="75">
        <f t="shared" si="54"/>
        <v>0</v>
      </c>
      <c r="B234" s="4">
        <f t="shared" si="60"/>
        <v>0</v>
      </c>
      <c r="C234" s="69" t="e">
        <f t="shared" si="55"/>
        <v>#REF!</v>
      </c>
      <c r="D234" s="4">
        <f t="shared" si="61"/>
        <v>0</v>
      </c>
      <c r="E234" s="69" t="e">
        <f t="shared" si="56"/>
        <v>#REF!</v>
      </c>
      <c r="F234" s="4">
        <f t="shared" si="62"/>
        <v>0</v>
      </c>
      <c r="G234" s="69" t="e">
        <f t="shared" si="57"/>
        <v>#REF!</v>
      </c>
      <c r="H234" s="4">
        <f t="shared" si="63"/>
        <v>0</v>
      </c>
      <c r="I234" s="69" t="e">
        <f t="shared" si="58"/>
        <v>#REF!</v>
      </c>
      <c r="J234" s="4">
        <f t="shared" si="64"/>
        <v>0</v>
      </c>
      <c r="K234" s="69" t="e">
        <f t="shared" si="59"/>
        <v>#REF!</v>
      </c>
      <c r="L234" s="1" t="str">
        <f>IF(Request!D59="F-SMRA","A",IF(Request!D59="F-SMRB","B",IF(Request!D59="F-SMRC","C","D")))</f>
        <v>D</v>
      </c>
    </row>
    <row r="235" spans="1:12" x14ac:dyDescent="0.15">
      <c r="A235" s="75">
        <f t="shared" si="54"/>
        <v>0</v>
      </c>
      <c r="B235" s="4">
        <f t="shared" si="60"/>
        <v>0</v>
      </c>
      <c r="C235" s="69" t="e">
        <f t="shared" si="55"/>
        <v>#REF!</v>
      </c>
      <c r="D235" s="4">
        <f t="shared" si="61"/>
        <v>0</v>
      </c>
      <c r="E235" s="69" t="e">
        <f t="shared" si="56"/>
        <v>#REF!</v>
      </c>
      <c r="F235" s="4">
        <f t="shared" si="62"/>
        <v>0</v>
      </c>
      <c r="G235" s="69" t="e">
        <f t="shared" si="57"/>
        <v>#REF!</v>
      </c>
      <c r="H235" s="4">
        <f t="shared" si="63"/>
        <v>0</v>
      </c>
      <c r="I235" s="69" t="e">
        <f t="shared" si="58"/>
        <v>#REF!</v>
      </c>
      <c r="J235" s="4">
        <f t="shared" si="64"/>
        <v>0</v>
      </c>
      <c r="K235" s="69" t="e">
        <f t="shared" si="59"/>
        <v>#REF!</v>
      </c>
      <c r="L235" s="1" t="str">
        <f>IF(Request!D60="F-SMRA","A",IF(Request!D60="F-SMRB","B",IF(Request!D60="F-SMRC","C","D")))</f>
        <v>D</v>
      </c>
    </row>
    <row r="236" spans="1:12" x14ac:dyDescent="0.15">
      <c r="A236" s="75">
        <f t="shared" si="54"/>
        <v>0</v>
      </c>
      <c r="B236" s="4">
        <f t="shared" si="60"/>
        <v>0</v>
      </c>
      <c r="C236" s="69" t="e">
        <f t="shared" si="55"/>
        <v>#REF!</v>
      </c>
      <c r="D236" s="4">
        <f t="shared" si="61"/>
        <v>0</v>
      </c>
      <c r="E236" s="69" t="e">
        <f t="shared" si="56"/>
        <v>#REF!</v>
      </c>
      <c r="F236" s="4">
        <f t="shared" si="62"/>
        <v>0</v>
      </c>
      <c r="G236" s="69" t="e">
        <f t="shared" si="57"/>
        <v>#REF!</v>
      </c>
      <c r="H236" s="4">
        <f t="shared" si="63"/>
        <v>0</v>
      </c>
      <c r="I236" s="69" t="e">
        <f t="shared" si="58"/>
        <v>#REF!</v>
      </c>
      <c r="J236" s="4">
        <f t="shared" si="64"/>
        <v>0</v>
      </c>
      <c r="K236" s="69" t="e">
        <f t="shared" si="59"/>
        <v>#REF!</v>
      </c>
      <c r="L236" s="1" t="str">
        <f>IF(Request!D61="F-SMRA","A",IF(Request!D61="F-SMRB","B",IF(Request!D61="F-SMRC","C","D")))</f>
        <v>D</v>
      </c>
    </row>
    <row r="237" spans="1:12" x14ac:dyDescent="0.15">
      <c r="A237" s="75">
        <f t="shared" si="54"/>
        <v>0</v>
      </c>
      <c r="B237" s="4">
        <f t="shared" si="60"/>
        <v>0</v>
      </c>
      <c r="C237" s="69" t="e">
        <f t="shared" si="55"/>
        <v>#REF!</v>
      </c>
      <c r="D237" s="4">
        <f t="shared" si="61"/>
        <v>0</v>
      </c>
      <c r="E237" s="69" t="e">
        <f t="shared" si="56"/>
        <v>#REF!</v>
      </c>
      <c r="F237" s="4">
        <f t="shared" si="62"/>
        <v>0</v>
      </c>
      <c r="G237" s="69" t="e">
        <f t="shared" si="57"/>
        <v>#REF!</v>
      </c>
      <c r="H237" s="4">
        <f t="shared" si="63"/>
        <v>0</v>
      </c>
      <c r="I237" s="69" t="e">
        <f t="shared" si="58"/>
        <v>#REF!</v>
      </c>
      <c r="J237" s="4">
        <f t="shared" si="64"/>
        <v>0</v>
      </c>
      <c r="K237" s="69" t="e">
        <f t="shared" si="59"/>
        <v>#REF!</v>
      </c>
      <c r="L237" s="1" t="str">
        <f>IF(Request!D62="F-SMRA","A",IF(Request!D62="F-SMRB","B",IF(Request!D62="F-SMRC","C","D")))</f>
        <v>D</v>
      </c>
    </row>
    <row r="238" spans="1:12" x14ac:dyDescent="0.15">
      <c r="A238" s="75">
        <f t="shared" si="54"/>
        <v>0</v>
      </c>
      <c r="B238" s="4">
        <f t="shared" si="60"/>
        <v>0</v>
      </c>
      <c r="C238" s="69" t="e">
        <f t="shared" si="55"/>
        <v>#REF!</v>
      </c>
      <c r="D238" s="4">
        <f t="shared" si="61"/>
        <v>0</v>
      </c>
      <c r="E238" s="69" t="e">
        <f t="shared" si="56"/>
        <v>#REF!</v>
      </c>
      <c r="F238" s="4">
        <f t="shared" si="62"/>
        <v>0</v>
      </c>
      <c r="G238" s="69" t="e">
        <f t="shared" si="57"/>
        <v>#REF!</v>
      </c>
      <c r="H238" s="4">
        <f t="shared" si="63"/>
        <v>0</v>
      </c>
      <c r="I238" s="69" t="e">
        <f t="shared" si="58"/>
        <v>#REF!</v>
      </c>
      <c r="J238" s="4">
        <f t="shared" si="64"/>
        <v>0</v>
      </c>
      <c r="K238" s="69" t="e">
        <f t="shared" si="59"/>
        <v>#REF!</v>
      </c>
      <c r="L238" s="1" t="str">
        <f>IF(Request!D63="F-SMRA","A",IF(Request!D63="F-SMRB","B",IF(Request!D63="F-SMRC","C","D")))</f>
        <v>D</v>
      </c>
    </row>
    <row r="239" spans="1:12" x14ac:dyDescent="0.15">
      <c r="A239" s="75">
        <f t="shared" si="54"/>
        <v>0</v>
      </c>
      <c r="B239" s="4">
        <f t="shared" si="60"/>
        <v>0</v>
      </c>
      <c r="C239" s="69" t="e">
        <f t="shared" si="55"/>
        <v>#REF!</v>
      </c>
      <c r="D239" s="4">
        <f t="shared" si="61"/>
        <v>0</v>
      </c>
      <c r="E239" s="69" t="e">
        <f t="shared" si="56"/>
        <v>#REF!</v>
      </c>
      <c r="F239" s="4">
        <f t="shared" si="62"/>
        <v>0</v>
      </c>
      <c r="G239" s="69" t="e">
        <f t="shared" si="57"/>
        <v>#REF!</v>
      </c>
      <c r="H239" s="4">
        <f t="shared" si="63"/>
        <v>0</v>
      </c>
      <c r="I239" s="69" t="e">
        <f t="shared" si="58"/>
        <v>#REF!</v>
      </c>
      <c r="J239" s="4">
        <f t="shared" si="64"/>
        <v>0</v>
      </c>
      <c r="K239" s="69" t="e">
        <f t="shared" si="59"/>
        <v>#REF!</v>
      </c>
      <c r="L239" s="1" t="str">
        <f>IF(Request!D64="F-SMRA","A",IF(Request!D64="F-SMRB","B",IF(Request!D64="F-SMRC","C","D")))</f>
        <v>D</v>
      </c>
    </row>
    <row r="240" spans="1:12" x14ac:dyDescent="0.15">
      <c r="A240" s="75">
        <f t="shared" si="54"/>
        <v>0</v>
      </c>
      <c r="B240" s="4">
        <f t="shared" si="60"/>
        <v>0</v>
      </c>
      <c r="C240" s="69" t="e">
        <f t="shared" si="55"/>
        <v>#REF!</v>
      </c>
      <c r="D240" s="4">
        <f t="shared" si="61"/>
        <v>0</v>
      </c>
      <c r="E240" s="69" t="e">
        <f t="shared" si="56"/>
        <v>#REF!</v>
      </c>
      <c r="F240" s="4">
        <f t="shared" si="62"/>
        <v>0</v>
      </c>
      <c r="G240" s="69" t="e">
        <f t="shared" si="57"/>
        <v>#REF!</v>
      </c>
      <c r="H240" s="4">
        <f t="shared" si="63"/>
        <v>0</v>
      </c>
      <c r="I240" s="69" t="e">
        <f t="shared" si="58"/>
        <v>#REF!</v>
      </c>
      <c r="J240" s="4">
        <f t="shared" si="64"/>
        <v>0</v>
      </c>
      <c r="K240" s="69" t="e">
        <f t="shared" si="59"/>
        <v>#REF!</v>
      </c>
      <c r="L240" s="1" t="str">
        <f>IF(Request!D65="F-SMRA","A",IF(Request!D65="F-SMRB","B",IF(Request!D65="F-SMRC","C","D")))</f>
        <v>D</v>
      </c>
    </row>
    <row r="241" spans="1:12" x14ac:dyDescent="0.15">
      <c r="A241" s="76">
        <f t="shared" si="54"/>
        <v>0</v>
      </c>
      <c r="B241" s="4">
        <f t="shared" si="60"/>
        <v>0</v>
      </c>
      <c r="C241" s="69" t="e">
        <f t="shared" si="55"/>
        <v>#REF!</v>
      </c>
      <c r="D241" s="4">
        <f t="shared" si="61"/>
        <v>0</v>
      </c>
      <c r="E241" s="69" t="e">
        <f t="shared" si="56"/>
        <v>#REF!</v>
      </c>
      <c r="F241" s="4">
        <f t="shared" si="62"/>
        <v>0</v>
      </c>
      <c r="G241" s="69" t="e">
        <f t="shared" si="57"/>
        <v>#REF!</v>
      </c>
      <c r="H241" s="4">
        <f t="shared" si="63"/>
        <v>0</v>
      </c>
      <c r="I241" s="69" t="e">
        <f t="shared" si="58"/>
        <v>#REF!</v>
      </c>
      <c r="J241" s="4">
        <f t="shared" si="64"/>
        <v>0</v>
      </c>
      <c r="K241" s="69" t="e">
        <f t="shared" si="59"/>
        <v>#REF!</v>
      </c>
      <c r="L241" s="1" t="str">
        <f>IF(Request!D66="F-SMRA","A",IF(Request!D66="F-SMRB","B",IF(Request!D66="F-SMRC","C","D")))</f>
        <v>D</v>
      </c>
    </row>
    <row r="245" spans="1:12" x14ac:dyDescent="0.15">
      <c r="E245" s="77"/>
      <c r="F245" s="17"/>
      <c r="G245" s="17"/>
      <c r="H245" s="17"/>
      <c r="I245" s="17"/>
    </row>
    <row r="246" spans="1:12" x14ac:dyDescent="0.15">
      <c r="A246" s="79" t="s">
        <v>125</v>
      </c>
      <c r="B246" s="219" t="s">
        <v>8</v>
      </c>
      <c r="C246" s="219"/>
      <c r="D246" s="219" t="s">
        <v>9</v>
      </c>
      <c r="E246" s="219"/>
      <c r="F246" s="219" t="s">
        <v>10</v>
      </c>
      <c r="G246" s="219"/>
      <c r="H246" s="219" t="s">
        <v>23</v>
      </c>
      <c r="I246" s="219"/>
      <c r="J246" s="219" t="s">
        <v>11</v>
      </c>
      <c r="K246" s="219"/>
    </row>
    <row r="247" spans="1:12" x14ac:dyDescent="0.15">
      <c r="A247" s="79"/>
      <c r="B247" s="82" t="e">
        <f t="shared" ref="B247:K247" si="65">B56</f>
        <v>#REF!</v>
      </c>
      <c r="C247" s="82" t="e">
        <f t="shared" si="65"/>
        <v>#REF!</v>
      </c>
      <c r="D247" s="82">
        <f t="shared" si="65"/>
        <v>0</v>
      </c>
      <c r="E247" s="82">
        <f t="shared" si="65"/>
        <v>0</v>
      </c>
      <c r="F247" s="82">
        <f t="shared" si="65"/>
        <v>0</v>
      </c>
      <c r="G247" s="82">
        <f t="shared" si="65"/>
        <v>0</v>
      </c>
      <c r="H247" s="82">
        <f t="shared" si="65"/>
        <v>0</v>
      </c>
      <c r="I247" s="82">
        <f t="shared" si="65"/>
        <v>0</v>
      </c>
      <c r="J247" s="82">
        <f t="shared" si="65"/>
        <v>0</v>
      </c>
      <c r="K247" s="82">
        <f t="shared" si="65"/>
        <v>0</v>
      </c>
    </row>
    <row r="248" spans="1:12" x14ac:dyDescent="0.15">
      <c r="A248" s="74" t="str">
        <f>A218</f>
        <v xml:space="preserve">PI #1 </v>
      </c>
      <c r="B248" s="4" t="e">
        <f>B218</f>
        <v>#REF!</v>
      </c>
      <c r="C248" s="4" t="e">
        <f t="shared" ref="C248:K248" si="66">C218</f>
        <v>#REF!</v>
      </c>
      <c r="D248" s="4" t="e">
        <f t="shared" si="66"/>
        <v>#REF!</v>
      </c>
      <c r="E248" s="4" t="e">
        <f t="shared" si="66"/>
        <v>#REF!</v>
      </c>
      <c r="F248" s="4" t="e">
        <f t="shared" si="66"/>
        <v>#REF!</v>
      </c>
      <c r="G248" s="4" t="e">
        <f t="shared" si="66"/>
        <v>#REF!</v>
      </c>
      <c r="H248" s="4" t="e">
        <f t="shared" si="66"/>
        <v>#REF!</v>
      </c>
      <c r="I248" s="4" t="e">
        <f t="shared" si="66"/>
        <v>#REF!</v>
      </c>
      <c r="J248" s="4" t="e">
        <f t="shared" si="66"/>
        <v>#REF!</v>
      </c>
      <c r="K248" s="4" t="e">
        <f t="shared" si="66"/>
        <v>#REF!</v>
      </c>
    </row>
    <row r="249" spans="1:12" x14ac:dyDescent="0.15">
      <c r="A249" s="74" t="str">
        <f t="shared" ref="A249:K271" si="67">A219</f>
        <v>PI #2</v>
      </c>
      <c r="B249" s="4" t="e">
        <f t="shared" si="67"/>
        <v>#REF!</v>
      </c>
      <c r="C249" s="4" t="e">
        <f t="shared" si="67"/>
        <v>#REF!</v>
      </c>
      <c r="D249" s="4" t="e">
        <f t="shared" si="67"/>
        <v>#REF!</v>
      </c>
      <c r="E249" s="4" t="e">
        <f t="shared" si="67"/>
        <v>#REF!</v>
      </c>
      <c r="F249" s="4" t="e">
        <f t="shared" si="67"/>
        <v>#REF!</v>
      </c>
      <c r="G249" s="4" t="e">
        <f t="shared" si="67"/>
        <v>#REF!</v>
      </c>
      <c r="H249" s="4" t="e">
        <f t="shared" si="67"/>
        <v>#REF!</v>
      </c>
      <c r="I249" s="4" t="e">
        <f t="shared" si="67"/>
        <v>#REF!</v>
      </c>
      <c r="J249" s="4" t="e">
        <f t="shared" si="67"/>
        <v>#REF!</v>
      </c>
      <c r="K249" s="4" t="e">
        <f t="shared" si="67"/>
        <v>#REF!</v>
      </c>
    </row>
    <row r="250" spans="1:12" x14ac:dyDescent="0.15">
      <c r="A250" s="74" t="str">
        <f t="shared" si="67"/>
        <v>TBN</v>
      </c>
      <c r="B250" s="4" t="e">
        <f t="shared" si="67"/>
        <v>#REF!</v>
      </c>
      <c r="C250" s="4" t="e">
        <f t="shared" si="67"/>
        <v>#REF!</v>
      </c>
      <c r="D250" s="4" t="e">
        <f t="shared" si="67"/>
        <v>#REF!</v>
      </c>
      <c r="E250" s="4" t="e">
        <f t="shared" si="67"/>
        <v>#REF!</v>
      </c>
      <c r="F250" s="4" t="e">
        <f t="shared" si="67"/>
        <v>#REF!</v>
      </c>
      <c r="G250" s="4" t="e">
        <f t="shared" si="67"/>
        <v>#REF!</v>
      </c>
      <c r="H250" s="4" t="e">
        <f t="shared" si="67"/>
        <v>#REF!</v>
      </c>
      <c r="I250" s="4" t="e">
        <f t="shared" si="67"/>
        <v>#REF!</v>
      </c>
      <c r="J250" s="4" t="e">
        <f t="shared" si="67"/>
        <v>#REF!</v>
      </c>
      <c r="K250" s="4" t="e">
        <f t="shared" si="67"/>
        <v>#REF!</v>
      </c>
    </row>
    <row r="251" spans="1:12" x14ac:dyDescent="0.15">
      <c r="A251" s="74" t="str">
        <f t="shared" si="67"/>
        <v>TBN</v>
      </c>
      <c r="B251" s="4" t="e">
        <f t="shared" si="67"/>
        <v>#REF!</v>
      </c>
      <c r="C251" s="4" t="e">
        <f t="shared" si="67"/>
        <v>#REF!</v>
      </c>
      <c r="D251" s="4" t="e">
        <f t="shared" si="67"/>
        <v>#REF!</v>
      </c>
      <c r="E251" s="4" t="e">
        <f t="shared" si="67"/>
        <v>#REF!</v>
      </c>
      <c r="F251" s="4" t="e">
        <f t="shared" si="67"/>
        <v>#REF!</v>
      </c>
      <c r="G251" s="4" t="e">
        <f t="shared" si="67"/>
        <v>#REF!</v>
      </c>
      <c r="H251" s="4" t="e">
        <f t="shared" si="67"/>
        <v>#REF!</v>
      </c>
      <c r="I251" s="4" t="e">
        <f t="shared" si="67"/>
        <v>#REF!</v>
      </c>
      <c r="J251" s="4" t="e">
        <f t="shared" si="67"/>
        <v>#REF!</v>
      </c>
      <c r="K251" s="4" t="e">
        <f t="shared" si="67"/>
        <v>#REF!</v>
      </c>
    </row>
    <row r="252" spans="1:12" x14ac:dyDescent="0.15">
      <c r="A252" s="74">
        <f t="shared" si="67"/>
        <v>0</v>
      </c>
      <c r="B252" s="4" t="e">
        <f t="shared" si="67"/>
        <v>#REF!</v>
      </c>
      <c r="C252" s="4" t="e">
        <f t="shared" si="67"/>
        <v>#REF!</v>
      </c>
      <c r="D252" s="4" t="e">
        <f t="shared" si="67"/>
        <v>#REF!</v>
      </c>
      <c r="E252" s="4" t="e">
        <f t="shared" si="67"/>
        <v>#REF!</v>
      </c>
      <c r="F252" s="4" t="e">
        <f t="shared" si="67"/>
        <v>#REF!</v>
      </c>
      <c r="G252" s="4" t="e">
        <f t="shared" si="67"/>
        <v>#REF!</v>
      </c>
      <c r="H252" s="4" t="e">
        <f t="shared" si="67"/>
        <v>#REF!</v>
      </c>
      <c r="I252" s="4" t="e">
        <f t="shared" si="67"/>
        <v>#REF!</v>
      </c>
      <c r="J252" s="4" t="e">
        <f t="shared" si="67"/>
        <v>#REF!</v>
      </c>
      <c r="K252" s="4" t="e">
        <f t="shared" si="67"/>
        <v>#REF!</v>
      </c>
    </row>
    <row r="253" spans="1:12" x14ac:dyDescent="0.15">
      <c r="A253" s="74">
        <f t="shared" si="67"/>
        <v>0</v>
      </c>
      <c r="B253" s="4" t="e">
        <f t="shared" si="67"/>
        <v>#REF!</v>
      </c>
      <c r="C253" s="4" t="e">
        <f t="shared" si="67"/>
        <v>#REF!</v>
      </c>
      <c r="D253" s="4" t="e">
        <f t="shared" si="67"/>
        <v>#REF!</v>
      </c>
      <c r="E253" s="4" t="e">
        <f t="shared" si="67"/>
        <v>#REF!</v>
      </c>
      <c r="F253" s="4" t="e">
        <f t="shared" si="67"/>
        <v>#REF!</v>
      </c>
      <c r="G253" s="4" t="e">
        <f t="shared" si="67"/>
        <v>#REF!</v>
      </c>
      <c r="H253" s="4" t="e">
        <f t="shared" si="67"/>
        <v>#REF!</v>
      </c>
      <c r="I253" s="4" t="e">
        <f t="shared" si="67"/>
        <v>#REF!</v>
      </c>
      <c r="J253" s="4" t="e">
        <f t="shared" si="67"/>
        <v>#REF!</v>
      </c>
      <c r="K253" s="4" t="e">
        <f t="shared" si="67"/>
        <v>#REF!</v>
      </c>
    </row>
    <row r="254" spans="1:12" x14ac:dyDescent="0.15">
      <c r="A254" s="74">
        <f t="shared" si="67"/>
        <v>0</v>
      </c>
      <c r="B254" s="4">
        <f t="shared" si="67"/>
        <v>0</v>
      </c>
      <c r="C254" s="4" t="e">
        <f t="shared" si="67"/>
        <v>#REF!</v>
      </c>
      <c r="D254" s="4">
        <f t="shared" si="67"/>
        <v>0</v>
      </c>
      <c r="E254" s="4" t="e">
        <f t="shared" si="67"/>
        <v>#REF!</v>
      </c>
      <c r="F254" s="4">
        <f t="shared" si="67"/>
        <v>0</v>
      </c>
      <c r="G254" s="4" t="e">
        <f t="shared" si="67"/>
        <v>#REF!</v>
      </c>
      <c r="H254" s="4">
        <f t="shared" si="67"/>
        <v>0</v>
      </c>
      <c r="I254" s="4" t="e">
        <f t="shared" si="67"/>
        <v>#REF!</v>
      </c>
      <c r="J254" s="4">
        <f t="shared" si="67"/>
        <v>0</v>
      </c>
      <c r="K254" s="4" t="e">
        <f t="shared" si="67"/>
        <v>#REF!</v>
      </c>
    </row>
    <row r="255" spans="1:12" x14ac:dyDescent="0.15">
      <c r="A255" s="74">
        <f t="shared" si="67"/>
        <v>0</v>
      </c>
      <c r="B255" s="4">
        <f t="shared" si="67"/>
        <v>0</v>
      </c>
      <c r="C255" s="4" t="e">
        <f t="shared" si="67"/>
        <v>#REF!</v>
      </c>
      <c r="D255" s="4">
        <f t="shared" si="67"/>
        <v>0</v>
      </c>
      <c r="E255" s="4" t="e">
        <f t="shared" si="67"/>
        <v>#REF!</v>
      </c>
      <c r="F255" s="4">
        <f t="shared" si="67"/>
        <v>0</v>
      </c>
      <c r="G255" s="4" t="e">
        <f t="shared" si="67"/>
        <v>#REF!</v>
      </c>
      <c r="H255" s="4">
        <f t="shared" si="67"/>
        <v>0</v>
      </c>
      <c r="I255" s="4" t="e">
        <f t="shared" si="67"/>
        <v>#REF!</v>
      </c>
      <c r="J255" s="4">
        <f t="shared" si="67"/>
        <v>0</v>
      </c>
      <c r="K255" s="4" t="e">
        <f t="shared" si="67"/>
        <v>#REF!</v>
      </c>
    </row>
    <row r="256" spans="1:12" x14ac:dyDescent="0.15">
      <c r="A256" s="74">
        <f t="shared" si="67"/>
        <v>0</v>
      </c>
      <c r="B256" s="4">
        <f t="shared" si="67"/>
        <v>0</v>
      </c>
      <c r="C256" s="4" t="e">
        <f t="shared" si="67"/>
        <v>#REF!</v>
      </c>
      <c r="D256" s="4">
        <f t="shared" si="67"/>
        <v>0</v>
      </c>
      <c r="E256" s="4" t="e">
        <f t="shared" si="67"/>
        <v>#REF!</v>
      </c>
      <c r="F256" s="4">
        <f t="shared" si="67"/>
        <v>0</v>
      </c>
      <c r="G256" s="4" t="e">
        <f t="shared" si="67"/>
        <v>#REF!</v>
      </c>
      <c r="H256" s="4">
        <f t="shared" si="67"/>
        <v>0</v>
      </c>
      <c r="I256" s="4" t="e">
        <f t="shared" si="67"/>
        <v>#REF!</v>
      </c>
      <c r="J256" s="4">
        <f t="shared" si="67"/>
        <v>0</v>
      </c>
      <c r="K256" s="4" t="e">
        <f t="shared" si="67"/>
        <v>#REF!</v>
      </c>
    </row>
    <row r="257" spans="1:11" x14ac:dyDescent="0.15">
      <c r="A257" s="74">
        <f t="shared" si="67"/>
        <v>0</v>
      </c>
      <c r="B257" s="4">
        <f t="shared" si="67"/>
        <v>0</v>
      </c>
      <c r="C257" s="4" t="e">
        <f t="shared" si="67"/>
        <v>#REF!</v>
      </c>
      <c r="D257" s="4">
        <f t="shared" si="67"/>
        <v>0</v>
      </c>
      <c r="E257" s="4" t="e">
        <f t="shared" si="67"/>
        <v>#REF!</v>
      </c>
      <c r="F257" s="4">
        <f t="shared" si="67"/>
        <v>0</v>
      </c>
      <c r="G257" s="4" t="e">
        <f t="shared" si="67"/>
        <v>#REF!</v>
      </c>
      <c r="H257" s="4">
        <f t="shared" si="67"/>
        <v>0</v>
      </c>
      <c r="I257" s="4" t="e">
        <f t="shared" si="67"/>
        <v>#REF!</v>
      </c>
      <c r="J257" s="4">
        <f t="shared" si="67"/>
        <v>0</v>
      </c>
      <c r="K257" s="4" t="e">
        <f t="shared" si="67"/>
        <v>#REF!</v>
      </c>
    </row>
    <row r="258" spans="1:11" x14ac:dyDescent="0.15">
      <c r="A258" s="74">
        <f t="shared" si="67"/>
        <v>0</v>
      </c>
      <c r="B258" s="4">
        <f t="shared" si="67"/>
        <v>0</v>
      </c>
      <c r="C258" s="4" t="e">
        <f t="shared" si="67"/>
        <v>#REF!</v>
      </c>
      <c r="D258" s="4">
        <f t="shared" si="67"/>
        <v>0</v>
      </c>
      <c r="E258" s="4" t="e">
        <f t="shared" si="67"/>
        <v>#REF!</v>
      </c>
      <c r="F258" s="4">
        <f t="shared" si="67"/>
        <v>0</v>
      </c>
      <c r="G258" s="4" t="e">
        <f t="shared" si="67"/>
        <v>#REF!</v>
      </c>
      <c r="H258" s="4">
        <f t="shared" si="67"/>
        <v>0</v>
      </c>
      <c r="I258" s="4" t="e">
        <f t="shared" si="67"/>
        <v>#REF!</v>
      </c>
      <c r="J258" s="4">
        <f t="shared" si="67"/>
        <v>0</v>
      </c>
      <c r="K258" s="4" t="e">
        <f t="shared" si="67"/>
        <v>#REF!</v>
      </c>
    </row>
    <row r="259" spans="1:11" x14ac:dyDescent="0.15">
      <c r="A259" s="74">
        <f t="shared" si="67"/>
        <v>0</v>
      </c>
      <c r="B259" s="4">
        <f t="shared" si="67"/>
        <v>0</v>
      </c>
      <c r="C259" s="4" t="e">
        <f t="shared" si="67"/>
        <v>#REF!</v>
      </c>
      <c r="D259" s="4">
        <f t="shared" si="67"/>
        <v>0</v>
      </c>
      <c r="E259" s="4" t="e">
        <f t="shared" si="67"/>
        <v>#REF!</v>
      </c>
      <c r="F259" s="4">
        <f t="shared" si="67"/>
        <v>0</v>
      </c>
      <c r="G259" s="4" t="e">
        <f t="shared" si="67"/>
        <v>#REF!</v>
      </c>
      <c r="H259" s="4">
        <f t="shared" si="67"/>
        <v>0</v>
      </c>
      <c r="I259" s="4" t="e">
        <f t="shared" si="67"/>
        <v>#REF!</v>
      </c>
      <c r="J259" s="4">
        <f t="shared" si="67"/>
        <v>0</v>
      </c>
      <c r="K259" s="4" t="e">
        <f t="shared" si="67"/>
        <v>#REF!</v>
      </c>
    </row>
    <row r="260" spans="1:11" x14ac:dyDescent="0.15">
      <c r="A260" s="74">
        <f t="shared" si="67"/>
        <v>0</v>
      </c>
      <c r="B260" s="4">
        <f t="shared" si="67"/>
        <v>0</v>
      </c>
      <c r="C260" s="4" t="e">
        <f t="shared" si="67"/>
        <v>#REF!</v>
      </c>
      <c r="D260" s="4">
        <f t="shared" si="67"/>
        <v>0</v>
      </c>
      <c r="E260" s="4" t="e">
        <f t="shared" si="67"/>
        <v>#REF!</v>
      </c>
      <c r="F260" s="4">
        <f t="shared" si="67"/>
        <v>0</v>
      </c>
      <c r="G260" s="4" t="e">
        <f t="shared" si="67"/>
        <v>#REF!</v>
      </c>
      <c r="H260" s="4">
        <f t="shared" si="67"/>
        <v>0</v>
      </c>
      <c r="I260" s="4" t="e">
        <f t="shared" si="67"/>
        <v>#REF!</v>
      </c>
      <c r="J260" s="4">
        <f t="shared" si="67"/>
        <v>0</v>
      </c>
      <c r="K260" s="4" t="e">
        <f t="shared" si="67"/>
        <v>#REF!</v>
      </c>
    </row>
    <row r="261" spans="1:11" x14ac:dyDescent="0.15">
      <c r="A261" s="74">
        <f t="shared" si="67"/>
        <v>0</v>
      </c>
      <c r="B261" s="4">
        <f t="shared" si="67"/>
        <v>0</v>
      </c>
      <c r="C261" s="4" t="e">
        <f t="shared" si="67"/>
        <v>#REF!</v>
      </c>
      <c r="D261" s="4">
        <f t="shared" si="67"/>
        <v>0</v>
      </c>
      <c r="E261" s="4" t="e">
        <f t="shared" si="67"/>
        <v>#REF!</v>
      </c>
      <c r="F261" s="4">
        <f t="shared" si="67"/>
        <v>0</v>
      </c>
      <c r="G261" s="4" t="e">
        <f t="shared" si="67"/>
        <v>#REF!</v>
      </c>
      <c r="H261" s="4">
        <f t="shared" si="67"/>
        <v>0</v>
      </c>
      <c r="I261" s="4" t="e">
        <f t="shared" si="67"/>
        <v>#REF!</v>
      </c>
      <c r="J261" s="4">
        <f t="shared" si="67"/>
        <v>0</v>
      </c>
      <c r="K261" s="4" t="e">
        <f t="shared" si="67"/>
        <v>#REF!</v>
      </c>
    </row>
    <row r="262" spans="1:11" x14ac:dyDescent="0.15">
      <c r="A262" s="74">
        <f t="shared" si="67"/>
        <v>0</v>
      </c>
      <c r="B262" s="4">
        <f t="shared" si="67"/>
        <v>0</v>
      </c>
      <c r="C262" s="4" t="e">
        <f t="shared" si="67"/>
        <v>#REF!</v>
      </c>
      <c r="D262" s="4">
        <f t="shared" si="67"/>
        <v>0</v>
      </c>
      <c r="E262" s="4" t="e">
        <f t="shared" si="67"/>
        <v>#REF!</v>
      </c>
      <c r="F262" s="4">
        <f t="shared" si="67"/>
        <v>0</v>
      </c>
      <c r="G262" s="4" t="e">
        <f t="shared" si="67"/>
        <v>#REF!</v>
      </c>
      <c r="H262" s="4">
        <f t="shared" si="67"/>
        <v>0</v>
      </c>
      <c r="I262" s="4" t="e">
        <f t="shared" si="67"/>
        <v>#REF!</v>
      </c>
      <c r="J262" s="4">
        <f t="shared" si="67"/>
        <v>0</v>
      </c>
      <c r="K262" s="4" t="e">
        <f t="shared" si="67"/>
        <v>#REF!</v>
      </c>
    </row>
    <row r="263" spans="1:11" x14ac:dyDescent="0.15">
      <c r="A263" s="74">
        <f t="shared" si="67"/>
        <v>0</v>
      </c>
      <c r="B263" s="4">
        <f t="shared" si="67"/>
        <v>0</v>
      </c>
      <c r="C263" s="4" t="e">
        <f t="shared" si="67"/>
        <v>#REF!</v>
      </c>
      <c r="D263" s="4">
        <f t="shared" si="67"/>
        <v>0</v>
      </c>
      <c r="E263" s="4" t="e">
        <f t="shared" si="67"/>
        <v>#REF!</v>
      </c>
      <c r="F263" s="4">
        <f t="shared" si="67"/>
        <v>0</v>
      </c>
      <c r="G263" s="4" t="e">
        <f t="shared" si="67"/>
        <v>#REF!</v>
      </c>
      <c r="H263" s="4">
        <f t="shared" si="67"/>
        <v>0</v>
      </c>
      <c r="I263" s="4" t="e">
        <f t="shared" si="67"/>
        <v>#REF!</v>
      </c>
      <c r="J263" s="4">
        <f t="shared" si="67"/>
        <v>0</v>
      </c>
      <c r="K263" s="4" t="e">
        <f t="shared" si="67"/>
        <v>#REF!</v>
      </c>
    </row>
    <row r="264" spans="1:11" x14ac:dyDescent="0.15">
      <c r="A264" s="74">
        <f t="shared" si="67"/>
        <v>0</v>
      </c>
      <c r="B264" s="4">
        <f t="shared" si="67"/>
        <v>0</v>
      </c>
      <c r="C264" s="4" t="e">
        <f t="shared" si="67"/>
        <v>#REF!</v>
      </c>
      <c r="D264" s="4">
        <f t="shared" si="67"/>
        <v>0</v>
      </c>
      <c r="E264" s="4" t="e">
        <f t="shared" si="67"/>
        <v>#REF!</v>
      </c>
      <c r="F264" s="4">
        <f t="shared" si="67"/>
        <v>0</v>
      </c>
      <c r="G264" s="4" t="e">
        <f t="shared" si="67"/>
        <v>#REF!</v>
      </c>
      <c r="H264" s="4">
        <f t="shared" si="67"/>
        <v>0</v>
      </c>
      <c r="I264" s="4" t="e">
        <f t="shared" si="67"/>
        <v>#REF!</v>
      </c>
      <c r="J264" s="4">
        <f t="shared" si="67"/>
        <v>0</v>
      </c>
      <c r="K264" s="4" t="e">
        <f t="shared" si="67"/>
        <v>#REF!</v>
      </c>
    </row>
    <row r="265" spans="1:11" x14ac:dyDescent="0.15">
      <c r="A265" s="74">
        <f t="shared" si="67"/>
        <v>0</v>
      </c>
      <c r="B265" s="4">
        <f t="shared" si="67"/>
        <v>0</v>
      </c>
      <c r="C265" s="4" t="e">
        <f t="shared" si="67"/>
        <v>#REF!</v>
      </c>
      <c r="D265" s="4">
        <f t="shared" si="67"/>
        <v>0</v>
      </c>
      <c r="E265" s="4" t="e">
        <f t="shared" si="67"/>
        <v>#REF!</v>
      </c>
      <c r="F265" s="4">
        <f t="shared" si="67"/>
        <v>0</v>
      </c>
      <c r="G265" s="4" t="e">
        <f t="shared" si="67"/>
        <v>#REF!</v>
      </c>
      <c r="H265" s="4">
        <f t="shared" si="67"/>
        <v>0</v>
      </c>
      <c r="I265" s="4" t="e">
        <f t="shared" si="67"/>
        <v>#REF!</v>
      </c>
      <c r="J265" s="4">
        <f t="shared" si="67"/>
        <v>0</v>
      </c>
      <c r="K265" s="4" t="e">
        <f t="shared" si="67"/>
        <v>#REF!</v>
      </c>
    </row>
    <row r="266" spans="1:11" x14ac:dyDescent="0.15">
      <c r="A266" s="74">
        <f t="shared" si="67"/>
        <v>0</v>
      </c>
      <c r="B266" s="4">
        <f t="shared" si="67"/>
        <v>0</v>
      </c>
      <c r="C266" s="4" t="e">
        <f t="shared" si="67"/>
        <v>#REF!</v>
      </c>
      <c r="D266" s="4">
        <f t="shared" si="67"/>
        <v>0</v>
      </c>
      <c r="E266" s="4" t="e">
        <f t="shared" si="67"/>
        <v>#REF!</v>
      </c>
      <c r="F266" s="4">
        <f t="shared" si="67"/>
        <v>0</v>
      </c>
      <c r="G266" s="4" t="e">
        <f t="shared" si="67"/>
        <v>#REF!</v>
      </c>
      <c r="H266" s="4">
        <f t="shared" si="67"/>
        <v>0</v>
      </c>
      <c r="I266" s="4" t="e">
        <f t="shared" si="67"/>
        <v>#REF!</v>
      </c>
      <c r="J266" s="4">
        <f t="shared" si="67"/>
        <v>0</v>
      </c>
      <c r="K266" s="4" t="e">
        <f t="shared" si="67"/>
        <v>#REF!</v>
      </c>
    </row>
    <row r="267" spans="1:11" x14ac:dyDescent="0.15">
      <c r="A267" s="74">
        <f t="shared" si="67"/>
        <v>0</v>
      </c>
      <c r="B267" s="4">
        <f t="shared" si="67"/>
        <v>0</v>
      </c>
      <c r="C267" s="4" t="e">
        <f t="shared" si="67"/>
        <v>#REF!</v>
      </c>
      <c r="D267" s="4">
        <f t="shared" si="67"/>
        <v>0</v>
      </c>
      <c r="E267" s="4" t="e">
        <f t="shared" si="67"/>
        <v>#REF!</v>
      </c>
      <c r="F267" s="4">
        <f t="shared" si="67"/>
        <v>0</v>
      </c>
      <c r="G267" s="4" t="e">
        <f t="shared" si="67"/>
        <v>#REF!</v>
      </c>
      <c r="H267" s="4">
        <f t="shared" si="67"/>
        <v>0</v>
      </c>
      <c r="I267" s="4" t="e">
        <f t="shared" si="67"/>
        <v>#REF!</v>
      </c>
      <c r="J267" s="4">
        <f t="shared" si="67"/>
        <v>0</v>
      </c>
      <c r="K267" s="4" t="e">
        <f t="shared" si="67"/>
        <v>#REF!</v>
      </c>
    </row>
    <row r="268" spans="1:11" x14ac:dyDescent="0.15">
      <c r="A268" s="74">
        <f t="shared" si="67"/>
        <v>0</v>
      </c>
      <c r="B268" s="4">
        <f t="shared" si="67"/>
        <v>0</v>
      </c>
      <c r="C268" s="4" t="e">
        <f t="shared" si="67"/>
        <v>#REF!</v>
      </c>
      <c r="D268" s="4">
        <f t="shared" si="67"/>
        <v>0</v>
      </c>
      <c r="E268" s="4" t="e">
        <f t="shared" si="67"/>
        <v>#REF!</v>
      </c>
      <c r="F268" s="4">
        <f t="shared" si="67"/>
        <v>0</v>
      </c>
      <c r="G268" s="4" t="e">
        <f t="shared" si="67"/>
        <v>#REF!</v>
      </c>
      <c r="H268" s="4">
        <f t="shared" si="67"/>
        <v>0</v>
      </c>
      <c r="I268" s="4" t="e">
        <f t="shared" si="67"/>
        <v>#REF!</v>
      </c>
      <c r="J268" s="4">
        <f t="shared" si="67"/>
        <v>0</v>
      </c>
      <c r="K268" s="4" t="e">
        <f t="shared" si="67"/>
        <v>#REF!</v>
      </c>
    </row>
    <row r="269" spans="1:11" x14ac:dyDescent="0.15">
      <c r="A269" s="74">
        <f t="shared" si="67"/>
        <v>0</v>
      </c>
      <c r="B269" s="4">
        <f t="shared" si="67"/>
        <v>0</v>
      </c>
      <c r="C269" s="4" t="e">
        <f t="shared" si="67"/>
        <v>#REF!</v>
      </c>
      <c r="D269" s="4">
        <f t="shared" si="67"/>
        <v>0</v>
      </c>
      <c r="E269" s="4" t="e">
        <f t="shared" si="67"/>
        <v>#REF!</v>
      </c>
      <c r="F269" s="4">
        <f t="shared" si="67"/>
        <v>0</v>
      </c>
      <c r="G269" s="4" t="e">
        <f t="shared" si="67"/>
        <v>#REF!</v>
      </c>
      <c r="H269" s="4">
        <f t="shared" si="67"/>
        <v>0</v>
      </c>
      <c r="I269" s="4" t="e">
        <f t="shared" si="67"/>
        <v>#REF!</v>
      </c>
      <c r="J269" s="4">
        <f t="shared" si="67"/>
        <v>0</v>
      </c>
      <c r="K269" s="4" t="e">
        <f t="shared" ref="K269" si="68">K239</f>
        <v>#REF!</v>
      </c>
    </row>
    <row r="270" spans="1:11" x14ac:dyDescent="0.15">
      <c r="A270" s="74">
        <f t="shared" si="67"/>
        <v>0</v>
      </c>
      <c r="B270" s="4">
        <f t="shared" ref="B270:K270" si="69">B240</f>
        <v>0</v>
      </c>
      <c r="C270" s="4" t="e">
        <f t="shared" si="69"/>
        <v>#REF!</v>
      </c>
      <c r="D270" s="4">
        <f t="shared" si="69"/>
        <v>0</v>
      </c>
      <c r="E270" s="4" t="e">
        <f t="shared" si="69"/>
        <v>#REF!</v>
      </c>
      <c r="F270" s="4">
        <f t="shared" si="69"/>
        <v>0</v>
      </c>
      <c r="G270" s="4" t="e">
        <f t="shared" si="69"/>
        <v>#REF!</v>
      </c>
      <c r="H270" s="4">
        <f t="shared" si="69"/>
        <v>0</v>
      </c>
      <c r="I270" s="4" t="e">
        <f t="shared" si="69"/>
        <v>#REF!</v>
      </c>
      <c r="J270" s="4">
        <f t="shared" si="69"/>
        <v>0</v>
      </c>
      <c r="K270" s="4" t="e">
        <f t="shared" si="69"/>
        <v>#REF!</v>
      </c>
    </row>
    <row r="271" spans="1:11" x14ac:dyDescent="0.15">
      <c r="A271" s="78">
        <f t="shared" si="67"/>
        <v>0</v>
      </c>
      <c r="B271" s="4">
        <f t="shared" ref="B271:K271" si="70">B241</f>
        <v>0</v>
      </c>
      <c r="C271" s="4" t="e">
        <f t="shared" si="70"/>
        <v>#REF!</v>
      </c>
      <c r="D271" s="4">
        <f t="shared" si="70"/>
        <v>0</v>
      </c>
      <c r="E271" s="4" t="e">
        <f t="shared" si="70"/>
        <v>#REF!</v>
      </c>
      <c r="F271" s="4">
        <f t="shared" si="70"/>
        <v>0</v>
      </c>
      <c r="G271" s="4" t="e">
        <f t="shared" si="70"/>
        <v>#REF!</v>
      </c>
      <c r="H271" s="4">
        <f t="shared" si="70"/>
        <v>0</v>
      </c>
      <c r="I271" s="4" t="e">
        <f t="shared" si="70"/>
        <v>#REF!</v>
      </c>
      <c r="J271" s="4">
        <f t="shared" si="70"/>
        <v>0</v>
      </c>
      <c r="K271" s="4" t="e">
        <f t="shared" si="70"/>
        <v>#REF!</v>
      </c>
    </row>
    <row r="272" spans="1:11" x14ac:dyDescent="0.15">
      <c r="A272" s="80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15">
      <c r="A274" s="79" t="s">
        <v>126</v>
      </c>
      <c r="B274" s="219"/>
      <c r="C274" s="219"/>
      <c r="D274" s="219"/>
      <c r="E274" s="219"/>
      <c r="F274" s="219"/>
      <c r="G274" s="219"/>
      <c r="H274" s="219"/>
      <c r="I274" s="219"/>
      <c r="J274" s="219"/>
      <c r="K274" s="219"/>
    </row>
    <row r="275" spans="1:11" x14ac:dyDescent="0.15">
      <c r="A275" s="81" t="str">
        <f>A248</f>
        <v xml:space="preserve">PI #1 </v>
      </c>
      <c r="B275" s="221" t="e">
        <f>IF(B$247=C$247,B$247*100,IF(C248=0,B$247*100&amp;"/0",IF(B248=0,"0/"&amp;C$247*100,B$247*100&amp;"/"&amp;C$247*100)))</f>
        <v>#REF!</v>
      </c>
      <c r="C275" s="222"/>
      <c r="D275" s="223">
        <f>IF(D$247=E$247,D$247*100,IF(E248=0,D$247*100&amp;"/0",IF(D248=0,"0/"&amp;E$247*100,D$247*100&amp;"/"&amp;E$247*100)))</f>
        <v>0</v>
      </c>
      <c r="E275" s="224"/>
      <c r="F275" s="223">
        <f>IF(F$247=G$247,F$247*100,IF(G248=0,F$247*100&amp;"/0",IF(F248=0,"0/"&amp;G$247*100,F$247*100&amp;"/"&amp;G$247*100)))</f>
        <v>0</v>
      </c>
      <c r="G275" s="224"/>
      <c r="H275" s="223">
        <f>IF(H$247=I$247,H$247*100,IF(I248=0,H$247*100&amp;"/0",IF(H248=0,"0/"&amp;I$247*100,H$247*100&amp;"/"&amp;I$247*100)))</f>
        <v>0</v>
      </c>
      <c r="I275" s="224"/>
      <c r="J275" s="221">
        <f>IF($G$5="","",IF(J$247=K$247,J$247*100,IF(K248=0,J$247*100&amp;"/0",IF(J248=0,"0/"&amp;K$247*100,J$247*100&amp;"/"&amp;K$247*100))))</f>
        <v>0</v>
      </c>
      <c r="K275" s="222"/>
    </row>
    <row r="276" spans="1:11" x14ac:dyDescent="0.15">
      <c r="A276" s="81" t="str">
        <f t="shared" ref="A276:A298" si="71">A249</f>
        <v>PI #2</v>
      </c>
      <c r="B276" s="221" t="e">
        <f>IF(B$247=C$247,B$247*100,IF(C249=0,B$247*100&amp;"/0",IF(B249=0,"0/"&amp;C$247*100,B$247*100&amp;"/"&amp;C$247*100)))</f>
        <v>#REF!</v>
      </c>
      <c r="C276" s="222"/>
      <c r="D276" s="223">
        <f t="shared" ref="D276:D298" si="72">IF(D$247=E$247,D$247*100,IF(E249=0,D$247*100&amp;"/0",IF(D249=0,"0/"&amp;E$247*100,D$247*100&amp;"/"&amp;E$247*100)))</f>
        <v>0</v>
      </c>
      <c r="E276" s="224"/>
      <c r="F276" s="223">
        <f t="shared" ref="F276:F298" si="73">IF(F$247=G$247,F$247*100,IF(G249=0,F$247*100&amp;"/0",IF(F249=0,"0/"&amp;G$247*100,F$247*100&amp;"/"&amp;G$247*100)))</f>
        <v>0</v>
      </c>
      <c r="G276" s="224"/>
      <c r="H276" s="223">
        <f t="shared" ref="H276:H298" si="74">IF(H$247=I$247,H$247*100,IF(I249=0,H$247*100&amp;"/0",IF(H249=0,"0/"&amp;I$247*100,H$247*100&amp;"/"&amp;I$247*100)))</f>
        <v>0</v>
      </c>
      <c r="I276" s="224"/>
      <c r="J276" s="221">
        <f t="shared" ref="J276:J298" si="75">IF($G$5="","",IF(J$247=K$247,J$247*100,IF(K249=0,J$247*100&amp;"/0",IF(J249=0,"0/"&amp;K$247*100,J$247*100&amp;"/"&amp;K$247*100))))</f>
        <v>0</v>
      </c>
      <c r="K276" s="222"/>
    </row>
    <row r="277" spans="1:11" x14ac:dyDescent="0.15">
      <c r="A277" s="81" t="str">
        <f t="shared" si="71"/>
        <v>TBN</v>
      </c>
      <c r="B277" s="221" t="e">
        <f>IF(B$247=C$247,B$247*100,IF(C250=0,B$247*100&amp;"/0",IF(B250=0,"0/"&amp;C$247*100,B$247*100&amp;"/"&amp;C$247*100)))</f>
        <v>#REF!</v>
      </c>
      <c r="C277" s="222"/>
      <c r="D277" s="223">
        <f t="shared" si="72"/>
        <v>0</v>
      </c>
      <c r="E277" s="224"/>
      <c r="F277" s="223">
        <f t="shared" si="73"/>
        <v>0</v>
      </c>
      <c r="G277" s="224"/>
      <c r="H277" s="223">
        <f t="shared" si="74"/>
        <v>0</v>
      </c>
      <c r="I277" s="224"/>
      <c r="J277" s="221">
        <f t="shared" si="75"/>
        <v>0</v>
      </c>
      <c r="K277" s="222"/>
    </row>
    <row r="278" spans="1:11" x14ac:dyDescent="0.15">
      <c r="A278" s="81" t="str">
        <f t="shared" si="71"/>
        <v>TBN</v>
      </c>
      <c r="B278" s="221" t="e">
        <f>IF(B$247=C$247,B$247*100,IF(C251=0,B$247*100&amp;"/0",IF(B251=0,"0/"&amp;C$247*100,B$247*100&amp;"/"&amp;C$247*100)))</f>
        <v>#REF!</v>
      </c>
      <c r="C278" s="222"/>
      <c r="D278" s="223">
        <f t="shared" si="72"/>
        <v>0</v>
      </c>
      <c r="E278" s="224"/>
      <c r="F278" s="223">
        <f t="shared" si="73"/>
        <v>0</v>
      </c>
      <c r="G278" s="224"/>
      <c r="H278" s="223">
        <f t="shared" si="74"/>
        <v>0</v>
      </c>
      <c r="I278" s="224"/>
      <c r="J278" s="221">
        <f t="shared" si="75"/>
        <v>0</v>
      </c>
      <c r="K278" s="222"/>
    </row>
    <row r="279" spans="1:11" x14ac:dyDescent="0.15">
      <c r="A279" s="81">
        <f t="shared" si="71"/>
        <v>0</v>
      </c>
      <c r="B279" s="221" t="e">
        <f t="shared" ref="B279:B298" si="76">IF(B$247=C$247,B$247*100,IF(C252=0,B$247*100&amp;"/0",IF(B252=0,"0/"&amp;C$247*100,B$247*100&amp;"/"&amp;C$247*100)))</f>
        <v>#REF!</v>
      </c>
      <c r="C279" s="222"/>
      <c r="D279" s="223">
        <f t="shared" si="72"/>
        <v>0</v>
      </c>
      <c r="E279" s="224"/>
      <c r="F279" s="223">
        <f t="shared" si="73"/>
        <v>0</v>
      </c>
      <c r="G279" s="224"/>
      <c r="H279" s="223">
        <f t="shared" si="74"/>
        <v>0</v>
      </c>
      <c r="I279" s="224"/>
      <c r="J279" s="221">
        <f t="shared" si="75"/>
        <v>0</v>
      </c>
      <c r="K279" s="222"/>
    </row>
    <row r="280" spans="1:11" x14ac:dyDescent="0.15">
      <c r="A280" s="81">
        <f t="shared" si="71"/>
        <v>0</v>
      </c>
      <c r="B280" s="221" t="e">
        <f t="shared" si="76"/>
        <v>#REF!</v>
      </c>
      <c r="C280" s="222"/>
      <c r="D280" s="223">
        <f t="shared" si="72"/>
        <v>0</v>
      </c>
      <c r="E280" s="224"/>
      <c r="F280" s="223">
        <f t="shared" si="73"/>
        <v>0</v>
      </c>
      <c r="G280" s="224"/>
      <c r="H280" s="223">
        <f t="shared" si="74"/>
        <v>0</v>
      </c>
      <c r="I280" s="224"/>
      <c r="J280" s="221">
        <f t="shared" si="75"/>
        <v>0</v>
      </c>
      <c r="K280" s="222"/>
    </row>
    <row r="281" spans="1:11" x14ac:dyDescent="0.15">
      <c r="A281" s="81">
        <f t="shared" si="71"/>
        <v>0</v>
      </c>
      <c r="B281" s="221" t="e">
        <f t="shared" si="76"/>
        <v>#REF!</v>
      </c>
      <c r="C281" s="222"/>
      <c r="D281" s="223">
        <f t="shared" si="72"/>
        <v>0</v>
      </c>
      <c r="E281" s="224"/>
      <c r="F281" s="223">
        <f t="shared" si="73"/>
        <v>0</v>
      </c>
      <c r="G281" s="224"/>
      <c r="H281" s="223">
        <f t="shared" si="74"/>
        <v>0</v>
      </c>
      <c r="I281" s="224"/>
      <c r="J281" s="221">
        <f t="shared" si="75"/>
        <v>0</v>
      </c>
      <c r="K281" s="222"/>
    </row>
    <row r="282" spans="1:11" x14ac:dyDescent="0.15">
      <c r="A282" s="81">
        <f t="shared" si="71"/>
        <v>0</v>
      </c>
      <c r="B282" s="221" t="e">
        <f t="shared" si="76"/>
        <v>#REF!</v>
      </c>
      <c r="C282" s="222"/>
      <c r="D282" s="223">
        <f t="shared" si="72"/>
        <v>0</v>
      </c>
      <c r="E282" s="224"/>
      <c r="F282" s="223">
        <f t="shared" si="73"/>
        <v>0</v>
      </c>
      <c r="G282" s="224"/>
      <c r="H282" s="223">
        <f t="shared" si="74"/>
        <v>0</v>
      </c>
      <c r="I282" s="224"/>
      <c r="J282" s="221">
        <f t="shared" si="75"/>
        <v>0</v>
      </c>
      <c r="K282" s="222"/>
    </row>
    <row r="283" spans="1:11" x14ac:dyDescent="0.15">
      <c r="A283" s="81">
        <f t="shared" si="71"/>
        <v>0</v>
      </c>
      <c r="B283" s="221" t="e">
        <f t="shared" si="76"/>
        <v>#REF!</v>
      </c>
      <c r="C283" s="222"/>
      <c r="D283" s="223">
        <f t="shared" si="72"/>
        <v>0</v>
      </c>
      <c r="E283" s="224"/>
      <c r="F283" s="223">
        <f t="shared" si="73"/>
        <v>0</v>
      </c>
      <c r="G283" s="224"/>
      <c r="H283" s="223">
        <f t="shared" si="74"/>
        <v>0</v>
      </c>
      <c r="I283" s="224"/>
      <c r="J283" s="221">
        <f t="shared" si="75"/>
        <v>0</v>
      </c>
      <c r="K283" s="222"/>
    </row>
    <row r="284" spans="1:11" x14ac:dyDescent="0.15">
      <c r="A284" s="81">
        <f t="shared" si="71"/>
        <v>0</v>
      </c>
      <c r="B284" s="221" t="e">
        <f t="shared" si="76"/>
        <v>#REF!</v>
      </c>
      <c r="C284" s="222"/>
      <c r="D284" s="223">
        <f t="shared" si="72"/>
        <v>0</v>
      </c>
      <c r="E284" s="224"/>
      <c r="F284" s="223">
        <f t="shared" si="73"/>
        <v>0</v>
      </c>
      <c r="G284" s="224"/>
      <c r="H284" s="223">
        <f t="shared" si="74"/>
        <v>0</v>
      </c>
      <c r="I284" s="224"/>
      <c r="J284" s="221">
        <f t="shared" si="75"/>
        <v>0</v>
      </c>
      <c r="K284" s="222"/>
    </row>
    <row r="285" spans="1:11" x14ac:dyDescent="0.15">
      <c r="A285" s="81">
        <f t="shared" si="71"/>
        <v>0</v>
      </c>
      <c r="B285" s="221" t="e">
        <f t="shared" si="76"/>
        <v>#REF!</v>
      </c>
      <c r="C285" s="222"/>
      <c r="D285" s="223">
        <f t="shared" si="72"/>
        <v>0</v>
      </c>
      <c r="E285" s="224"/>
      <c r="F285" s="223">
        <f t="shared" si="73"/>
        <v>0</v>
      </c>
      <c r="G285" s="224"/>
      <c r="H285" s="223">
        <f t="shared" si="74"/>
        <v>0</v>
      </c>
      <c r="I285" s="224"/>
      <c r="J285" s="221">
        <f t="shared" si="75"/>
        <v>0</v>
      </c>
      <c r="K285" s="222"/>
    </row>
    <row r="286" spans="1:11" x14ac:dyDescent="0.15">
      <c r="A286" s="81">
        <f t="shared" si="71"/>
        <v>0</v>
      </c>
      <c r="B286" s="221" t="e">
        <f t="shared" si="76"/>
        <v>#REF!</v>
      </c>
      <c r="C286" s="222"/>
      <c r="D286" s="223">
        <f t="shared" si="72"/>
        <v>0</v>
      </c>
      <c r="E286" s="224"/>
      <c r="F286" s="223">
        <f t="shared" si="73"/>
        <v>0</v>
      </c>
      <c r="G286" s="224"/>
      <c r="H286" s="223">
        <f t="shared" si="74"/>
        <v>0</v>
      </c>
      <c r="I286" s="224"/>
      <c r="J286" s="221">
        <f t="shared" si="75"/>
        <v>0</v>
      </c>
      <c r="K286" s="222"/>
    </row>
    <row r="287" spans="1:11" x14ac:dyDescent="0.15">
      <c r="A287" s="81">
        <f t="shared" si="71"/>
        <v>0</v>
      </c>
      <c r="B287" s="221" t="e">
        <f t="shared" si="76"/>
        <v>#REF!</v>
      </c>
      <c r="C287" s="222"/>
      <c r="D287" s="223">
        <f t="shared" si="72"/>
        <v>0</v>
      </c>
      <c r="E287" s="224"/>
      <c r="F287" s="223">
        <f t="shared" si="73"/>
        <v>0</v>
      </c>
      <c r="G287" s="224"/>
      <c r="H287" s="223">
        <f t="shared" si="74"/>
        <v>0</v>
      </c>
      <c r="I287" s="224"/>
      <c r="J287" s="221">
        <f t="shared" si="75"/>
        <v>0</v>
      </c>
      <c r="K287" s="222"/>
    </row>
    <row r="288" spans="1:11" x14ac:dyDescent="0.15">
      <c r="A288" s="81">
        <f t="shared" si="71"/>
        <v>0</v>
      </c>
      <c r="B288" s="221" t="e">
        <f t="shared" si="76"/>
        <v>#REF!</v>
      </c>
      <c r="C288" s="222"/>
      <c r="D288" s="223">
        <f t="shared" si="72"/>
        <v>0</v>
      </c>
      <c r="E288" s="224"/>
      <c r="F288" s="223">
        <f t="shared" si="73"/>
        <v>0</v>
      </c>
      <c r="G288" s="224"/>
      <c r="H288" s="223">
        <f t="shared" si="74"/>
        <v>0</v>
      </c>
      <c r="I288" s="224"/>
      <c r="J288" s="221">
        <f t="shared" si="75"/>
        <v>0</v>
      </c>
      <c r="K288" s="222"/>
    </row>
    <row r="289" spans="1:11" x14ac:dyDescent="0.15">
      <c r="A289" s="81">
        <f t="shared" si="71"/>
        <v>0</v>
      </c>
      <c r="B289" s="221" t="e">
        <f t="shared" si="76"/>
        <v>#REF!</v>
      </c>
      <c r="C289" s="222"/>
      <c r="D289" s="223">
        <f t="shared" si="72"/>
        <v>0</v>
      </c>
      <c r="E289" s="224"/>
      <c r="F289" s="223">
        <f t="shared" si="73"/>
        <v>0</v>
      </c>
      <c r="G289" s="224"/>
      <c r="H289" s="223">
        <f t="shared" si="74"/>
        <v>0</v>
      </c>
      <c r="I289" s="224"/>
      <c r="J289" s="221">
        <f t="shared" si="75"/>
        <v>0</v>
      </c>
      <c r="K289" s="222"/>
    </row>
    <row r="290" spans="1:11" x14ac:dyDescent="0.15">
      <c r="A290" s="81">
        <f t="shared" si="71"/>
        <v>0</v>
      </c>
      <c r="B290" s="221" t="e">
        <f t="shared" si="76"/>
        <v>#REF!</v>
      </c>
      <c r="C290" s="222"/>
      <c r="D290" s="223">
        <f t="shared" si="72"/>
        <v>0</v>
      </c>
      <c r="E290" s="224"/>
      <c r="F290" s="223">
        <f t="shared" si="73"/>
        <v>0</v>
      </c>
      <c r="G290" s="224"/>
      <c r="H290" s="223">
        <f t="shared" si="74"/>
        <v>0</v>
      </c>
      <c r="I290" s="224"/>
      <c r="J290" s="221">
        <f t="shared" si="75"/>
        <v>0</v>
      </c>
      <c r="K290" s="222"/>
    </row>
    <row r="291" spans="1:11" x14ac:dyDescent="0.15">
      <c r="A291" s="81">
        <f t="shared" si="71"/>
        <v>0</v>
      </c>
      <c r="B291" s="221" t="e">
        <f t="shared" si="76"/>
        <v>#REF!</v>
      </c>
      <c r="C291" s="222"/>
      <c r="D291" s="223">
        <f t="shared" si="72"/>
        <v>0</v>
      </c>
      <c r="E291" s="224"/>
      <c r="F291" s="223">
        <f t="shared" si="73"/>
        <v>0</v>
      </c>
      <c r="G291" s="224"/>
      <c r="H291" s="223">
        <f t="shared" si="74"/>
        <v>0</v>
      </c>
      <c r="I291" s="224"/>
      <c r="J291" s="221">
        <f t="shared" si="75"/>
        <v>0</v>
      </c>
      <c r="K291" s="222"/>
    </row>
    <row r="292" spans="1:11" x14ac:dyDescent="0.15">
      <c r="A292" s="81">
        <f t="shared" si="71"/>
        <v>0</v>
      </c>
      <c r="B292" s="221" t="e">
        <f t="shared" si="76"/>
        <v>#REF!</v>
      </c>
      <c r="C292" s="222"/>
      <c r="D292" s="223">
        <f t="shared" si="72"/>
        <v>0</v>
      </c>
      <c r="E292" s="224"/>
      <c r="F292" s="223">
        <f t="shared" si="73"/>
        <v>0</v>
      </c>
      <c r="G292" s="224"/>
      <c r="H292" s="223">
        <f t="shared" si="74"/>
        <v>0</v>
      </c>
      <c r="I292" s="224"/>
      <c r="J292" s="221">
        <f t="shared" si="75"/>
        <v>0</v>
      </c>
      <c r="K292" s="222"/>
    </row>
    <row r="293" spans="1:11" x14ac:dyDescent="0.15">
      <c r="A293" s="81">
        <f t="shared" si="71"/>
        <v>0</v>
      </c>
      <c r="B293" s="221" t="e">
        <f t="shared" si="76"/>
        <v>#REF!</v>
      </c>
      <c r="C293" s="222"/>
      <c r="D293" s="223">
        <f t="shared" si="72"/>
        <v>0</v>
      </c>
      <c r="E293" s="224"/>
      <c r="F293" s="223">
        <f t="shared" si="73"/>
        <v>0</v>
      </c>
      <c r="G293" s="224"/>
      <c r="H293" s="223">
        <f t="shared" si="74"/>
        <v>0</v>
      </c>
      <c r="I293" s="224"/>
      <c r="J293" s="221">
        <f t="shared" si="75"/>
        <v>0</v>
      </c>
      <c r="K293" s="222"/>
    </row>
    <row r="294" spans="1:11" x14ac:dyDescent="0.15">
      <c r="A294" s="81">
        <f t="shared" si="71"/>
        <v>0</v>
      </c>
      <c r="B294" s="221" t="e">
        <f t="shared" si="76"/>
        <v>#REF!</v>
      </c>
      <c r="C294" s="222"/>
      <c r="D294" s="223">
        <f t="shared" si="72"/>
        <v>0</v>
      </c>
      <c r="E294" s="224"/>
      <c r="F294" s="223">
        <f t="shared" si="73"/>
        <v>0</v>
      </c>
      <c r="G294" s="224"/>
      <c r="H294" s="223">
        <f t="shared" si="74"/>
        <v>0</v>
      </c>
      <c r="I294" s="224"/>
      <c r="J294" s="221">
        <f t="shared" si="75"/>
        <v>0</v>
      </c>
      <c r="K294" s="222"/>
    </row>
    <row r="295" spans="1:11" x14ac:dyDescent="0.15">
      <c r="A295" s="81">
        <f t="shared" si="71"/>
        <v>0</v>
      </c>
      <c r="B295" s="221" t="e">
        <f t="shared" si="76"/>
        <v>#REF!</v>
      </c>
      <c r="C295" s="222"/>
      <c r="D295" s="223">
        <f t="shared" si="72"/>
        <v>0</v>
      </c>
      <c r="E295" s="224"/>
      <c r="F295" s="223">
        <f t="shared" si="73"/>
        <v>0</v>
      </c>
      <c r="G295" s="224"/>
      <c r="H295" s="223">
        <f t="shared" si="74"/>
        <v>0</v>
      </c>
      <c r="I295" s="224"/>
      <c r="J295" s="221">
        <f t="shared" si="75"/>
        <v>0</v>
      </c>
      <c r="K295" s="222"/>
    </row>
    <row r="296" spans="1:11" x14ac:dyDescent="0.15">
      <c r="A296" s="81">
        <f t="shared" si="71"/>
        <v>0</v>
      </c>
      <c r="B296" s="221" t="e">
        <f t="shared" si="76"/>
        <v>#REF!</v>
      </c>
      <c r="C296" s="222"/>
      <c r="D296" s="223">
        <f t="shared" si="72"/>
        <v>0</v>
      </c>
      <c r="E296" s="224"/>
      <c r="F296" s="223">
        <f t="shared" si="73"/>
        <v>0</v>
      </c>
      <c r="G296" s="224"/>
      <c r="H296" s="223">
        <f t="shared" si="74"/>
        <v>0</v>
      </c>
      <c r="I296" s="224"/>
      <c r="J296" s="221">
        <f t="shared" si="75"/>
        <v>0</v>
      </c>
      <c r="K296" s="222"/>
    </row>
    <row r="297" spans="1:11" x14ac:dyDescent="0.15">
      <c r="A297" s="81">
        <f t="shared" si="71"/>
        <v>0</v>
      </c>
      <c r="B297" s="221" t="e">
        <f t="shared" si="76"/>
        <v>#REF!</v>
      </c>
      <c r="C297" s="222"/>
      <c r="D297" s="223">
        <f t="shared" si="72"/>
        <v>0</v>
      </c>
      <c r="E297" s="224"/>
      <c r="F297" s="223">
        <f t="shared" si="73"/>
        <v>0</v>
      </c>
      <c r="G297" s="224"/>
      <c r="H297" s="223">
        <f t="shared" si="74"/>
        <v>0</v>
      </c>
      <c r="I297" s="224"/>
      <c r="J297" s="221">
        <f t="shared" si="75"/>
        <v>0</v>
      </c>
      <c r="K297" s="222"/>
    </row>
    <row r="298" spans="1:11" x14ac:dyDescent="0.15">
      <c r="A298" s="81">
        <f t="shared" si="71"/>
        <v>0</v>
      </c>
      <c r="B298" s="221" t="e">
        <f t="shared" si="76"/>
        <v>#REF!</v>
      </c>
      <c r="C298" s="222"/>
      <c r="D298" s="223">
        <f t="shared" si="72"/>
        <v>0</v>
      </c>
      <c r="E298" s="224"/>
      <c r="F298" s="223">
        <f t="shared" si="73"/>
        <v>0</v>
      </c>
      <c r="G298" s="224"/>
      <c r="H298" s="223">
        <f t="shared" si="74"/>
        <v>0</v>
      </c>
      <c r="I298" s="224"/>
      <c r="J298" s="221">
        <f t="shared" si="75"/>
        <v>0</v>
      </c>
      <c r="K298" s="222"/>
    </row>
    <row r="300" spans="1:11" x14ac:dyDescent="0.15">
      <c r="A300" s="79" t="s">
        <v>127</v>
      </c>
      <c r="B300" s="219"/>
      <c r="C300" s="219"/>
      <c r="D300" s="219"/>
      <c r="E300" s="219"/>
      <c r="F300" s="219"/>
      <c r="G300" s="219"/>
      <c r="H300" s="219"/>
      <c r="I300" s="219"/>
      <c r="J300" s="219"/>
      <c r="K300" s="219"/>
    </row>
    <row r="301" spans="1:11" x14ac:dyDescent="0.15">
      <c r="A301" s="81" t="str">
        <f>A275</f>
        <v xml:space="preserve">PI #1 </v>
      </c>
      <c r="B301" s="220" t="e">
        <f>ROUND(Request!N16/Worksheet!H177*Worksheet!B248*Worksheet!$B$247+Request!N16/Worksheet!H177*Worksheet!C248*Worksheet!C247,0)</f>
        <v>#REF!</v>
      </c>
      <c r="C301" s="218"/>
      <c r="D301" s="220" t="e">
        <f>ROUND(Request!O16/(D248+E248)*Worksheet!D248*Worksheet!D$247+Request!O16/(D248+E248)*Worksheet!E248*Worksheet!E$247,0)</f>
        <v>#REF!</v>
      </c>
      <c r="E301" s="218"/>
      <c r="F301" s="220" t="e">
        <f>ROUND(Request!P16/(F248+G248)*Worksheet!F248*Worksheet!F$247+Request!P16/(F248+G248)*Worksheet!G248*Worksheet!G$247,0)</f>
        <v>#REF!</v>
      </c>
      <c r="G301" s="218"/>
      <c r="H301" s="220" t="e">
        <f>ROUND(Request!Q16/(H248+I248)*Worksheet!H248*Worksheet!H$247+Request!Q16/(H248+I248)*Worksheet!I248*Worksheet!I$247,0)</f>
        <v>#REF!</v>
      </c>
      <c r="I301" s="218"/>
      <c r="J301" s="220" t="str">
        <f>IF(J275=0,"",ROUND(Request!R16/(J248+K248)*Worksheet!J248*Worksheet!J$247+Request!R16/(J248+K248)*Worksheet!K248*Worksheet!K$247,0))</f>
        <v/>
      </c>
      <c r="K301" s="218"/>
    </row>
    <row r="302" spans="1:11" x14ac:dyDescent="0.15">
      <c r="A302" s="81" t="str">
        <f t="shared" ref="A302:A324" si="77">A276</f>
        <v>PI #2</v>
      </c>
      <c r="B302" s="220" t="e">
        <f>ROUND(Request!N17/Worksheet!H178*Worksheet!B249*Worksheet!$B$247+Request!N17/Worksheet!H178*Worksheet!C249*Worksheet!$C$247,0)</f>
        <v>#REF!</v>
      </c>
      <c r="C302" s="218"/>
      <c r="D302" s="220" t="e">
        <f>ROUND(Request!O17/(D249+E249)*Worksheet!D249*Worksheet!D$247+Request!O17/(D249+E249)*Worksheet!E249*Worksheet!E$247,0)</f>
        <v>#REF!</v>
      </c>
      <c r="E302" s="218"/>
      <c r="F302" s="220" t="e">
        <f>ROUND(Request!P17/(F249+G249)*Worksheet!F249*Worksheet!F$247+Request!P17/(F249+G249)*Worksheet!G249*Worksheet!G$247,0)</f>
        <v>#REF!</v>
      </c>
      <c r="G302" s="218"/>
      <c r="H302" s="220" t="e">
        <f>ROUND(Request!Q17/(H249+I249)*Worksheet!H249*Worksheet!H$247+Request!Q17/(H249+I249)*Worksheet!I249*Worksheet!I$247,0)</f>
        <v>#REF!</v>
      </c>
      <c r="I302" s="218"/>
      <c r="J302" s="220" t="str">
        <f>IF(J276=0,"",ROUND(Request!R17/(J249+K249)*Worksheet!J249*Worksheet!J$247+Request!R17/(J249+K249)*Worksheet!K249*Worksheet!K$247,0))</f>
        <v/>
      </c>
      <c r="K302" s="218"/>
    </row>
    <row r="303" spans="1:11" x14ac:dyDescent="0.15">
      <c r="A303" s="81" t="str">
        <f t="shared" si="77"/>
        <v>TBN</v>
      </c>
      <c r="B303" s="220" t="e">
        <f>ROUND(Request!N18/Worksheet!H179*Worksheet!B250*Worksheet!$B$247+Request!N18/Worksheet!H179*Worksheet!C250*Worksheet!$C$247,0)</f>
        <v>#REF!</v>
      </c>
      <c r="C303" s="218"/>
      <c r="D303" s="220" t="e">
        <f>ROUND(Request!O18/(D250+E250)*Worksheet!D250*Worksheet!D$247+Request!O18/(D250+E250)*Worksheet!E250*Worksheet!E$247,0)</f>
        <v>#REF!</v>
      </c>
      <c r="E303" s="218"/>
      <c r="F303" s="220" t="e">
        <f>ROUND(Request!P18/(F250+G250)*Worksheet!F250*Worksheet!F$247+Request!P18/(F250+G250)*Worksheet!G250*Worksheet!G$247,0)</f>
        <v>#REF!</v>
      </c>
      <c r="G303" s="218"/>
      <c r="H303" s="220" t="e">
        <f>ROUND(Request!Q18/(H250+I250)*Worksheet!H250*Worksheet!H$247+Request!Q18/(H250+I250)*Worksheet!I250*Worksheet!I$247,0)</f>
        <v>#REF!</v>
      </c>
      <c r="I303" s="218"/>
      <c r="J303" s="220" t="str">
        <f>IF(J277=0,"",ROUND(Request!R18/(J250+K250)*Worksheet!J250*Worksheet!J$247+Request!R18/(J250+K250)*Worksheet!K250*Worksheet!K$247,0))</f>
        <v/>
      </c>
      <c r="K303" s="218"/>
    </row>
    <row r="304" spans="1:11" x14ac:dyDescent="0.15">
      <c r="A304" s="81" t="str">
        <f t="shared" si="77"/>
        <v>TBN</v>
      </c>
      <c r="B304" s="220" t="e">
        <f>ROUND(Request!N19/Worksheet!H180*Worksheet!B251*Worksheet!$B$247+Request!N19/Worksheet!H180*Worksheet!C251*Worksheet!$C$247,0)</f>
        <v>#REF!</v>
      </c>
      <c r="C304" s="218"/>
      <c r="D304" s="220" t="e">
        <f>ROUND(Request!O19/(D251+E251)*Worksheet!D251*Worksheet!D$247+Request!O19/(D251+E251)*Worksheet!E251*Worksheet!E$247,0)</f>
        <v>#REF!</v>
      </c>
      <c r="E304" s="218"/>
      <c r="F304" s="220" t="e">
        <f>ROUND(Request!P19/(F251+G251)*Worksheet!F251*Worksheet!F$247+Request!P19/(F251+G251)*Worksheet!G251*Worksheet!G$247,0)</f>
        <v>#REF!</v>
      </c>
      <c r="G304" s="218"/>
      <c r="H304" s="220" t="e">
        <f>ROUND(Request!Q19/(H251+I251)*Worksheet!H251*Worksheet!H$247+Request!Q19/(H251+I251)*Worksheet!I251*Worksheet!I$247,0)</f>
        <v>#REF!</v>
      </c>
      <c r="I304" s="218"/>
      <c r="J304" s="220" t="str">
        <f>IF(J278=0,"",ROUND(Request!R19/(J251+K251)*Worksheet!J251*Worksheet!J$247+Request!R19/(J251+K251)*Worksheet!K251*Worksheet!K$247,0))</f>
        <v/>
      </c>
      <c r="K304" s="218"/>
    </row>
    <row r="305" spans="1:12" x14ac:dyDescent="0.15">
      <c r="A305" s="81">
        <f t="shared" si="77"/>
        <v>0</v>
      </c>
      <c r="B305" s="220" t="e">
        <f>IF((B252+C252)&lt;&gt;0,ROUND(Request!N20/Worksheet!H181*Worksheet!B252*Worksheet!$B$247+Request!N20/Worksheet!H181*Worksheet!C252*Worksheet!$C$247,0),0)</f>
        <v>#REF!</v>
      </c>
      <c r="C305" s="218"/>
      <c r="D305" s="220" t="e">
        <f>ROUND(Request!O20/(D252+E252)*Worksheet!D252*Worksheet!D$247+Request!O20/(D252+E252)*Worksheet!E252*Worksheet!E$247,0)</f>
        <v>#REF!</v>
      </c>
      <c r="E305" s="218"/>
      <c r="F305" s="220" t="e">
        <f>ROUND(Request!P20/(F252+G252)*Worksheet!F252*Worksheet!F$247+Request!P20/(F252+G252)*Worksheet!G252*Worksheet!G$247,0)</f>
        <v>#REF!</v>
      </c>
      <c r="G305" s="218"/>
      <c r="H305" s="220" t="e">
        <f>ROUND(Request!Q20/(H252+I252)*Worksheet!H252*Worksheet!H$247+Request!Q20/(H252+I252)*Worksheet!I252*Worksheet!I$247,0)</f>
        <v>#REF!</v>
      </c>
      <c r="I305" s="218"/>
      <c r="J305" s="220" t="str">
        <f>IF(J279=0,"",ROUND(Request!R20/(J252+K252)*Worksheet!J252*Worksheet!J$247+Request!R20/(J252+K252)*Worksheet!K252*Worksheet!K$247,0))</f>
        <v/>
      </c>
      <c r="K305" s="218"/>
      <c r="L305" s="17"/>
    </row>
    <row r="306" spans="1:12" x14ac:dyDescent="0.15">
      <c r="A306" s="81">
        <f t="shared" si="77"/>
        <v>0</v>
      </c>
      <c r="B306" s="220" t="e">
        <f>IF((B253+C253)&lt;&gt;0,ROUND(Request!N21/Worksheet!H182*Worksheet!B253*Worksheet!$B$247+Request!N21/Worksheet!H182*Worksheet!C253*Worksheet!$C$247,0),0)</f>
        <v>#REF!</v>
      </c>
      <c r="C306" s="218"/>
      <c r="D306" s="220" t="e">
        <f>ROUND(Request!O21/(D253+E253)*Worksheet!D253*Worksheet!D$247+Request!O21/(D253+E253)*Worksheet!E253*Worksheet!E$247,0)</f>
        <v>#REF!</v>
      </c>
      <c r="E306" s="218"/>
      <c r="F306" s="220" t="e">
        <f>ROUND(Request!P21/(F253+G253)*Worksheet!F253*Worksheet!F$247+Request!P21/(F253+G253)*Worksheet!G253*Worksheet!G$247,0)</f>
        <v>#REF!</v>
      </c>
      <c r="G306" s="218"/>
      <c r="H306" s="220" t="e">
        <f>ROUND(Request!Q21/(H253+I253)*Worksheet!H253*Worksheet!H$247+Request!Q21/(H253+I253)*Worksheet!I253*Worksheet!I$247,0)</f>
        <v>#REF!</v>
      </c>
      <c r="I306" s="218"/>
      <c r="J306" s="220" t="str">
        <f>IF(J280=0,"",ROUND(Request!R21/(J253+K253)*Worksheet!J253*Worksheet!J$247+Request!R21/(J253+K253)*Worksheet!K253*Worksheet!K$247,0))</f>
        <v/>
      </c>
      <c r="K306" s="218"/>
    </row>
    <row r="307" spans="1:12" x14ac:dyDescent="0.15">
      <c r="A307" s="81">
        <f t="shared" si="77"/>
        <v>0</v>
      </c>
      <c r="B307" s="220" t="e">
        <f>IF((B254+C254)&lt;&gt;0,ROUND(Request!N22/Worksheet!H183*Worksheet!B254*Worksheet!$B$247+Request!N22/Worksheet!H183*Worksheet!C254*Worksheet!$C$247,0),0)</f>
        <v>#REF!</v>
      </c>
      <c r="C307" s="218"/>
      <c r="D307" s="220" t="e">
        <f>ROUND(Request!O22/(D254+E254)*Worksheet!D254*Worksheet!D$247+Request!O22/(D254+E254)*Worksheet!E254*Worksheet!E$247,0)</f>
        <v>#REF!</v>
      </c>
      <c r="E307" s="218"/>
      <c r="F307" s="220" t="e">
        <f>ROUND(Request!P22/(F254+G254)*Worksheet!F254*Worksheet!F$247+Request!P22/(F254+G254)*Worksheet!G254*Worksheet!G$247,0)</f>
        <v>#REF!</v>
      </c>
      <c r="G307" s="218"/>
      <c r="H307" s="220" t="e">
        <f>ROUND(Request!Q22/(H254+I254)*Worksheet!H254*Worksheet!H$247+Request!Q22/(H254+I254)*Worksheet!I254*Worksheet!I$247,0)</f>
        <v>#REF!</v>
      </c>
      <c r="I307" s="218"/>
      <c r="J307" s="220" t="str">
        <f>IF(J281=0,"",ROUND(Request!R22/(J254+K254)*Worksheet!J254*Worksheet!J$247+Request!R22/(J254+K254)*Worksheet!K254*Worksheet!K$247,0))</f>
        <v/>
      </c>
      <c r="K307" s="218"/>
    </row>
    <row r="308" spans="1:12" x14ac:dyDescent="0.15">
      <c r="A308" s="81">
        <f t="shared" si="77"/>
        <v>0</v>
      </c>
      <c r="B308" s="220" t="e">
        <f>IF((B255+C255)&lt;&gt;0,ROUND(Request!N23/Worksheet!H184*Worksheet!B255*Worksheet!$B$247+Request!N23/Worksheet!H184*Worksheet!C255*Worksheet!$C$247,0),0)</f>
        <v>#REF!</v>
      </c>
      <c r="C308" s="218"/>
      <c r="D308" s="220" t="e">
        <f>ROUND(Request!O23/(D255+E255)*Worksheet!D255*Worksheet!D$247+Request!O23/(D255+E255)*Worksheet!E255*Worksheet!E$247,0)</f>
        <v>#REF!</v>
      </c>
      <c r="E308" s="218"/>
      <c r="F308" s="220" t="e">
        <f>ROUND(Request!P23/(F255+G255)*Worksheet!F255*Worksheet!F$247+Request!P23/(F255+G255)*Worksheet!G255*Worksheet!G$247,0)</f>
        <v>#REF!</v>
      </c>
      <c r="G308" s="218"/>
      <c r="H308" s="220" t="e">
        <f>ROUND(Request!Q23/(H255+I255)*Worksheet!H255*Worksheet!H$247+Request!Q23/(H255+I255)*Worksheet!I255*Worksheet!I$247,0)</f>
        <v>#REF!</v>
      </c>
      <c r="I308" s="218"/>
      <c r="J308" s="220" t="str">
        <f>IF(J282=0,"",ROUND(Request!R23/(J255+K255)*Worksheet!J255*Worksheet!J$247+Request!R23/(J255+K255)*Worksheet!K255*Worksheet!K$247,0))</f>
        <v/>
      </c>
      <c r="K308" s="218"/>
    </row>
    <row r="309" spans="1:12" x14ac:dyDescent="0.15">
      <c r="A309" s="81">
        <f t="shared" si="77"/>
        <v>0</v>
      </c>
      <c r="B309" s="220" t="e">
        <f>IF((B256+C256)&lt;&gt;0,ROUND(Request!N24/Worksheet!H185*Worksheet!B256*Worksheet!$B$247+Request!N24/Worksheet!H185*Worksheet!C256*Worksheet!$C$247,0),0)</f>
        <v>#REF!</v>
      </c>
      <c r="C309" s="218"/>
      <c r="D309" s="220" t="e">
        <f>ROUND(Request!O24/(D256+E256)*Worksheet!D256*Worksheet!D$247+Request!O24/(D256+E256)*Worksheet!E256*Worksheet!E$247,0)</f>
        <v>#REF!</v>
      </c>
      <c r="E309" s="218"/>
      <c r="F309" s="220" t="e">
        <f>ROUND(Request!P24/(F256+G256)*Worksheet!F256*Worksheet!F$247+Request!P24/(F256+G256)*Worksheet!G256*Worksheet!G$247,0)</f>
        <v>#REF!</v>
      </c>
      <c r="G309" s="218"/>
      <c r="H309" s="220" t="e">
        <f>ROUND(Request!Q24/(H256+I256)*Worksheet!H256*Worksheet!H$247+Request!Q24/(H256+I256)*Worksheet!I256*Worksheet!I$247,0)</f>
        <v>#REF!</v>
      </c>
      <c r="I309" s="218"/>
      <c r="J309" s="220" t="str">
        <f>IF(J283=0,"",ROUND(Request!R24/(J256+K256)*Worksheet!J256*Worksheet!J$247+Request!R24/(J256+K256)*Worksheet!K256*Worksheet!K$247,0))</f>
        <v/>
      </c>
      <c r="K309" s="218"/>
    </row>
    <row r="310" spans="1:12" x14ac:dyDescent="0.15">
      <c r="A310" s="81">
        <f t="shared" si="77"/>
        <v>0</v>
      </c>
      <c r="B310" s="220" t="e">
        <f>IF((B257+C257)&lt;&gt;0,ROUND(Request!N25/Worksheet!H186*Worksheet!B257*Worksheet!$B$247+Request!N25/Worksheet!H186*Worksheet!C257*Worksheet!$C$247,0),0)</f>
        <v>#REF!</v>
      </c>
      <c r="C310" s="218"/>
      <c r="D310" s="220" t="e">
        <f>ROUND(Request!O25/(D257+E257)*Worksheet!D257*Worksheet!D$247+Request!O25/(D257+E257)*Worksheet!E257*Worksheet!E$247,0)</f>
        <v>#REF!</v>
      </c>
      <c r="E310" s="218"/>
      <c r="F310" s="220" t="e">
        <f>ROUND(Request!P25/(F257+G257)*Worksheet!F257*Worksheet!F$247+Request!P25/(F257+G257)*Worksheet!G257*Worksheet!G$247,0)</f>
        <v>#REF!</v>
      </c>
      <c r="G310" s="218"/>
      <c r="H310" s="220" t="e">
        <f>ROUND(Request!Q25/(H257+I257)*Worksheet!H257*Worksheet!H$247+Request!Q25/(H257+I257)*Worksheet!I257*Worksheet!I$247,0)</f>
        <v>#REF!</v>
      </c>
      <c r="I310" s="218"/>
      <c r="J310" s="220" t="str">
        <f>IF(J284=0,"",ROUND(Request!R25/(J257+K257)*Worksheet!J257*Worksheet!J$247+Request!R25/(J257+K257)*Worksheet!K257*Worksheet!K$247,0))</f>
        <v/>
      </c>
      <c r="K310" s="218"/>
    </row>
    <row r="311" spans="1:12" x14ac:dyDescent="0.15">
      <c r="A311" s="81">
        <f t="shared" si="77"/>
        <v>0</v>
      </c>
      <c r="B311" s="220" t="e">
        <f>IF((B258+C258)&lt;&gt;0,ROUND(Request!N26/Worksheet!H187*Worksheet!B258*Worksheet!$B$247+Request!N26/Worksheet!H187*Worksheet!C258*Worksheet!$C$247,0),0)</f>
        <v>#REF!</v>
      </c>
      <c r="C311" s="218"/>
      <c r="D311" s="220" t="e">
        <f>ROUND(Request!O26/(D258+E258)*Worksheet!D258*Worksheet!D$247+Request!O26/(D258+E258)*Worksheet!E258*Worksheet!E$247,0)</f>
        <v>#REF!</v>
      </c>
      <c r="E311" s="218"/>
      <c r="F311" s="220" t="e">
        <f>ROUND(Request!P26/(F258+G258)*Worksheet!F258*Worksheet!F$247+Request!P26/(F258+G258)*Worksheet!G258*Worksheet!G$247,0)</f>
        <v>#REF!</v>
      </c>
      <c r="G311" s="218"/>
      <c r="H311" s="220" t="e">
        <f>ROUND(Request!Q26/(H258+I258)*Worksheet!H258*Worksheet!H$247+Request!Q26/(H258+I258)*Worksheet!I258*Worksheet!I$247,0)</f>
        <v>#REF!</v>
      </c>
      <c r="I311" s="218"/>
      <c r="J311" s="220" t="str">
        <f>IF(J285=0,"",ROUND(Request!R26/(J258+K258)*Worksheet!J258*Worksheet!J$247+Request!R26/(J258+K258)*Worksheet!K258*Worksheet!K$247,0))</f>
        <v/>
      </c>
      <c r="K311" s="218"/>
    </row>
    <row r="312" spans="1:12" x14ac:dyDescent="0.15">
      <c r="A312" s="81">
        <f t="shared" si="77"/>
        <v>0</v>
      </c>
      <c r="B312" s="220" t="e">
        <f>IF((B259+C259)&lt;&gt;0,ROUND(Request!N27/Worksheet!H188*Worksheet!B259*Worksheet!$B$247+Request!N27/Worksheet!H188*Worksheet!C259*Worksheet!$C$247,0),0)</f>
        <v>#REF!</v>
      </c>
      <c r="C312" s="218"/>
      <c r="D312" s="220" t="e">
        <f>ROUND(Request!O27/(D259+E259)*Worksheet!D259*Worksheet!D$247+Request!O27/(D259+E259)*Worksheet!E259*Worksheet!E$247,0)</f>
        <v>#REF!</v>
      </c>
      <c r="E312" s="218"/>
      <c r="F312" s="220" t="e">
        <f>ROUND(Request!P27/(F259+G259)*Worksheet!F259*Worksheet!F$247+Request!P27/(F259+G259)*Worksheet!G259*Worksheet!G$247,0)</f>
        <v>#REF!</v>
      </c>
      <c r="G312" s="218"/>
      <c r="H312" s="220" t="e">
        <f>ROUND(Request!Q27/(H259+I259)*Worksheet!H259*Worksheet!H$247+Request!Q27/(H259+I259)*Worksheet!I259*Worksheet!I$247,0)</f>
        <v>#REF!</v>
      </c>
      <c r="I312" s="218"/>
      <c r="J312" s="220" t="str">
        <f>IF(J286=0,"",ROUND(Request!R27/(J259+K259)*Worksheet!J259*Worksheet!J$247+Request!R27/(J259+K259)*Worksheet!K259*Worksheet!K$247,0))</f>
        <v/>
      </c>
      <c r="K312" s="218"/>
    </row>
    <row r="313" spans="1:12" x14ac:dyDescent="0.15">
      <c r="A313" s="81">
        <f t="shared" si="77"/>
        <v>0</v>
      </c>
      <c r="B313" s="220" t="e">
        <f>IF((B260+C260)&lt;&gt;0,ROUND(Request!N28/Worksheet!H189*Worksheet!B260*Worksheet!$B$247+Request!N28/Worksheet!H189*Worksheet!C260*Worksheet!$C$247,0),0)</f>
        <v>#REF!</v>
      </c>
      <c r="C313" s="218"/>
      <c r="D313" s="220" t="e">
        <f>ROUND(Request!O28/(D260+E260)*Worksheet!D260*Worksheet!D$247+Request!O28/(D260+E260)*Worksheet!E260*Worksheet!E$247,0)</f>
        <v>#REF!</v>
      </c>
      <c r="E313" s="218"/>
      <c r="F313" s="220" t="e">
        <f>ROUND(Request!P28/(F260+G260)*Worksheet!F260*Worksheet!F$247+Request!P28/(F260+G260)*Worksheet!G260*Worksheet!G$247,0)</f>
        <v>#REF!</v>
      </c>
      <c r="G313" s="218"/>
      <c r="H313" s="220" t="e">
        <f>ROUND(Request!Q28/(H260+I260)*Worksheet!H260*Worksheet!H$247+Request!Q28/(H260+I260)*Worksheet!I260*Worksheet!I$247,0)</f>
        <v>#REF!</v>
      </c>
      <c r="I313" s="218"/>
      <c r="J313" s="220" t="str">
        <f>IF(J287=0,"",ROUND(Request!R28/(J260+K260)*Worksheet!J260*Worksheet!J$247+Request!R28/(J260+K260)*Worksheet!K260*Worksheet!K$247,0))</f>
        <v/>
      </c>
      <c r="K313" s="218"/>
    </row>
    <row r="314" spans="1:12" x14ac:dyDescent="0.15">
      <c r="A314" s="81">
        <f t="shared" si="77"/>
        <v>0</v>
      </c>
      <c r="B314" s="220" t="e">
        <f>IF((B261+C261)&lt;&gt;0,ROUND(Request!N29/Worksheet!H190*Worksheet!B261*Worksheet!$B$247+Request!N29/Worksheet!H190*Worksheet!C261*Worksheet!$C$247,0),0)</f>
        <v>#REF!</v>
      </c>
      <c r="C314" s="218"/>
      <c r="D314" s="220" t="e">
        <f>ROUND(Request!O29/(D261+E261)*Worksheet!D261*Worksheet!D$247+Request!O29/(D261+E261)*Worksheet!E261*Worksheet!E$247,0)</f>
        <v>#REF!</v>
      </c>
      <c r="E314" s="218"/>
      <c r="F314" s="220" t="e">
        <f>ROUND(Request!P29/(F261+G261)*Worksheet!F261*Worksheet!F$247+Request!P29/(F261+G261)*Worksheet!G261*Worksheet!G$247,0)</f>
        <v>#REF!</v>
      </c>
      <c r="G314" s="218"/>
      <c r="H314" s="220" t="e">
        <f>ROUND(Request!Q29/(H261+I261)*Worksheet!H261*Worksheet!H$247+Request!Q29/(H261+I261)*Worksheet!I261*Worksheet!I$247,0)</f>
        <v>#REF!</v>
      </c>
      <c r="I314" s="218"/>
      <c r="J314" s="220" t="str">
        <f>IF(J288=0,"",ROUND(Request!R29/(J261+K261)*Worksheet!J261*Worksheet!J$247+Request!R29/(J261+K261)*Worksheet!K261*Worksheet!K$247,0))</f>
        <v/>
      </c>
      <c r="K314" s="218"/>
    </row>
    <row r="315" spans="1:12" x14ac:dyDescent="0.15">
      <c r="A315" s="81">
        <f t="shared" si="77"/>
        <v>0</v>
      </c>
      <c r="B315" s="220" t="e">
        <f>IF((B262+C262)&lt;&gt;0,ROUND(Request!N30/Worksheet!H191*Worksheet!B262*Worksheet!$B$247+Request!N30/Worksheet!H191*Worksheet!C262*Worksheet!$C$247,0),0)</f>
        <v>#REF!</v>
      </c>
      <c r="C315" s="218"/>
      <c r="D315" s="220" t="e">
        <f>ROUND(Request!O30/(D262+E262)*Worksheet!D262*Worksheet!D$247+Request!O30/(D262+E262)*Worksheet!E262*Worksheet!E$247,0)</f>
        <v>#REF!</v>
      </c>
      <c r="E315" s="218"/>
      <c r="F315" s="220" t="e">
        <f>ROUND(Request!P30/(F262+G262)*Worksheet!F262*Worksheet!F$247+Request!P30/(F262+G262)*Worksheet!G262*Worksheet!G$247,0)</f>
        <v>#REF!</v>
      </c>
      <c r="G315" s="218"/>
      <c r="H315" s="220" t="e">
        <f>ROUND(Request!Q30/(H262+I262)*Worksheet!H262*Worksheet!H$247+Request!Q30/(H262+I262)*Worksheet!I262*Worksheet!I$247,0)</f>
        <v>#REF!</v>
      </c>
      <c r="I315" s="218"/>
      <c r="J315" s="220" t="str">
        <f>IF(J289=0,"",ROUND(Request!R30/(J262+K262)*Worksheet!J262*Worksheet!J$247+Request!R30/(J262+K262)*Worksheet!K262*Worksheet!K$247,0))</f>
        <v/>
      </c>
      <c r="K315" s="218"/>
    </row>
    <row r="316" spans="1:12" x14ac:dyDescent="0.15">
      <c r="A316" s="81">
        <f t="shared" si="77"/>
        <v>0</v>
      </c>
      <c r="B316" s="220" t="e">
        <f>IF((B263+C263)&lt;&gt;0,ROUND(Request!N31/Worksheet!H192*Worksheet!B263*Worksheet!$B$247+Request!N31/Worksheet!H192*Worksheet!C263*Worksheet!$C$247,0),0)</f>
        <v>#REF!</v>
      </c>
      <c r="C316" s="218"/>
      <c r="D316" s="220" t="e">
        <f>ROUND(Request!O31/(D263+E263)*Worksheet!D263*Worksheet!D$247+Request!O31/(D263+E263)*Worksheet!E263*Worksheet!E$247,0)</f>
        <v>#REF!</v>
      </c>
      <c r="E316" s="218"/>
      <c r="F316" s="220" t="e">
        <f>ROUND(Request!P31/(F263+G263)*Worksheet!F263*Worksheet!F$247+Request!P31/(F263+G263)*Worksheet!G263*Worksheet!G$247,0)</f>
        <v>#REF!</v>
      </c>
      <c r="G316" s="218"/>
      <c r="H316" s="220" t="e">
        <f>ROUND(Request!Q31/(H263+I263)*Worksheet!H263*Worksheet!H$247+Request!Q31/(H263+I263)*Worksheet!I263*Worksheet!I$247,0)</f>
        <v>#REF!</v>
      </c>
      <c r="I316" s="218"/>
      <c r="J316" s="220" t="str">
        <f>IF(J290=0,"",ROUND(Request!R31/(J263+K263)*Worksheet!J263*Worksheet!J$247+Request!R31/(J263+K263)*Worksheet!K263*Worksheet!K$247,0))</f>
        <v/>
      </c>
      <c r="K316" s="218"/>
    </row>
    <row r="317" spans="1:12" x14ac:dyDescent="0.15">
      <c r="A317" s="81">
        <f t="shared" si="77"/>
        <v>0</v>
      </c>
      <c r="B317" s="220" t="e">
        <f>IF((B264+C264)&lt;&gt;0,ROUND(Request!N32/Worksheet!H193*Worksheet!B264*Worksheet!$B$247+Request!N32/Worksheet!H193*Worksheet!C264*Worksheet!$C$247,0),0)</f>
        <v>#REF!</v>
      </c>
      <c r="C317" s="218"/>
      <c r="D317" s="220" t="e">
        <f>ROUND(Request!O32/(D264+E264)*Worksheet!D264*Worksheet!D$247+Request!O32/(D264+E264)*Worksheet!E264*Worksheet!E$247,0)</f>
        <v>#REF!</v>
      </c>
      <c r="E317" s="218"/>
      <c r="F317" s="220" t="e">
        <f>ROUND(Request!P32/(F264+G264)*Worksheet!F264*Worksheet!F$247+Request!P32/(F264+G264)*Worksheet!G264*Worksheet!G$247,0)</f>
        <v>#REF!</v>
      </c>
      <c r="G317" s="218"/>
      <c r="H317" s="220" t="e">
        <f>ROUND(Request!Q32/(H264+I264)*Worksheet!H264*Worksheet!H$247+Request!Q32/(H264+I264)*Worksheet!I264*Worksheet!I$247,0)</f>
        <v>#REF!</v>
      </c>
      <c r="I317" s="218"/>
      <c r="J317" s="220" t="str">
        <f>IF(J291=0,"",ROUND(Request!R32/(J264+K264)*Worksheet!J264*Worksheet!J$247+Request!R32/(J264+K264)*Worksheet!K264*Worksheet!K$247,0))</f>
        <v/>
      </c>
      <c r="K317" s="218"/>
    </row>
    <row r="318" spans="1:12" x14ac:dyDescent="0.15">
      <c r="A318" s="81">
        <f t="shared" si="77"/>
        <v>0</v>
      </c>
      <c r="B318" s="220" t="e">
        <f>IF((B265+C265)&lt;&gt;0,ROUND(Request!N33/Worksheet!H194*Worksheet!B265*Worksheet!$B$247+Request!N33/Worksheet!H194*Worksheet!C265*Worksheet!$C$247,0),0)</f>
        <v>#REF!</v>
      </c>
      <c r="C318" s="218"/>
      <c r="D318" s="220" t="e">
        <f>ROUND(Request!O33/(D265+E265)*Worksheet!D265*Worksheet!D$247+Request!O33/(D265+E265)*Worksheet!E265*Worksheet!E$247,0)</f>
        <v>#REF!</v>
      </c>
      <c r="E318" s="218"/>
      <c r="F318" s="220" t="e">
        <f>ROUND(Request!P33/(F265+G265)*Worksheet!F265*Worksheet!F$247+Request!P33/(F265+G265)*Worksheet!G265*Worksheet!G$247,0)</f>
        <v>#REF!</v>
      </c>
      <c r="G318" s="218"/>
      <c r="H318" s="220" t="e">
        <f>ROUND(Request!Q33/(H265+I265)*Worksheet!H265*Worksheet!H$247+Request!Q33/(H265+I265)*Worksheet!I265*Worksheet!I$247,0)</f>
        <v>#REF!</v>
      </c>
      <c r="I318" s="218"/>
      <c r="J318" s="220" t="str">
        <f>IF(J292=0,"",ROUND(Request!R33/(J265+K265)*Worksheet!J265*Worksheet!J$247+Request!R33/(J265+K265)*Worksheet!K265*Worksheet!K$247,0))</f>
        <v/>
      </c>
      <c r="K318" s="218"/>
    </row>
    <row r="319" spans="1:12" x14ac:dyDescent="0.15">
      <c r="A319" s="81">
        <f t="shared" si="77"/>
        <v>0</v>
      </c>
      <c r="B319" s="220" t="e">
        <f>IF((B266+C266)&lt;&gt;0,ROUND(Request!N34/Worksheet!H195*Worksheet!B266*Worksheet!$B$247+Request!N34/Worksheet!H195*Worksheet!C266*Worksheet!$C$247,0),0)</f>
        <v>#REF!</v>
      </c>
      <c r="C319" s="218"/>
      <c r="D319" s="220" t="e">
        <f>ROUND(Request!O34/(D266+E266)*Worksheet!D266*Worksheet!D$247+Request!O34/(D266+E266)*Worksheet!E266*Worksheet!E$247,0)</f>
        <v>#REF!</v>
      </c>
      <c r="E319" s="218"/>
      <c r="F319" s="220" t="e">
        <f>ROUND(Request!P34/(F266+G266)*Worksheet!F266*Worksheet!F$247+Request!P34/(F266+G266)*Worksheet!G266*Worksheet!G$247,0)</f>
        <v>#REF!</v>
      </c>
      <c r="G319" s="218"/>
      <c r="H319" s="220" t="e">
        <f>ROUND(Request!Q34/(H266+I266)*Worksheet!H266*Worksheet!H$247+Request!Q34/(H266+I266)*Worksheet!I266*Worksheet!I$247,0)</f>
        <v>#REF!</v>
      </c>
      <c r="I319" s="218"/>
      <c r="J319" s="220" t="str">
        <f>IF(J293=0,"",ROUND(Request!R34/(J266+K266)*Worksheet!J266*Worksheet!J$247+Request!R34/(J266+K266)*Worksheet!K266*Worksheet!K$247,0))</f>
        <v/>
      </c>
      <c r="K319" s="218"/>
    </row>
    <row r="320" spans="1:12" x14ac:dyDescent="0.15">
      <c r="A320" s="81">
        <f t="shared" si="77"/>
        <v>0</v>
      </c>
      <c r="B320" s="220" t="e">
        <f>IF((B267+C267)&lt;&gt;0,ROUND(Request!N35/Worksheet!H196*Worksheet!B267*Worksheet!$B$247+Request!N35/Worksheet!H196*Worksheet!C267*Worksheet!$C$247,0),0)</f>
        <v>#REF!</v>
      </c>
      <c r="C320" s="218"/>
      <c r="D320" s="220" t="e">
        <f>ROUND(Request!O35/(D267+E267)*Worksheet!D267*Worksheet!D$247+Request!O35/(D267+E267)*Worksheet!E267*Worksheet!E$247,0)</f>
        <v>#REF!</v>
      </c>
      <c r="E320" s="218"/>
      <c r="F320" s="220" t="e">
        <f>ROUND(Request!P35/(F267+G267)*Worksheet!F267*Worksheet!F$247+Request!P35/(F267+G267)*Worksheet!G267*Worksheet!G$247,0)</f>
        <v>#REF!</v>
      </c>
      <c r="G320" s="218"/>
      <c r="H320" s="220" t="e">
        <f>ROUND(Request!Q35/(H267+I267)*Worksheet!H267*Worksheet!H$247+Request!Q35/(H267+I267)*Worksheet!I267*Worksheet!I$247,0)</f>
        <v>#REF!</v>
      </c>
      <c r="I320" s="218"/>
      <c r="J320" s="220" t="str">
        <f>IF(J294=0,"",ROUND(Request!R35/(J267+K267)*Worksheet!J267*Worksheet!J$247+Request!R35/(J267+K267)*Worksheet!K267*Worksheet!K$247,0))</f>
        <v/>
      </c>
      <c r="K320" s="218"/>
    </row>
    <row r="321" spans="1:11" x14ac:dyDescent="0.15">
      <c r="A321" s="81">
        <f t="shared" si="77"/>
        <v>0</v>
      </c>
      <c r="B321" s="220" t="e">
        <f>IF((B268+C268)&lt;&gt;0,ROUND(Request!N36/Worksheet!H197*Worksheet!B268*Worksheet!$B$247+Request!N36/Worksheet!H197*Worksheet!C268*Worksheet!$C$247,0),0)</f>
        <v>#REF!</v>
      </c>
      <c r="C321" s="218"/>
      <c r="D321" s="220" t="e">
        <f>ROUND(Request!O36/(D268+E268)*Worksheet!D268*Worksheet!D$247+Request!O36/(D268+E268)*Worksheet!E268*Worksheet!E$247,0)</f>
        <v>#REF!</v>
      </c>
      <c r="E321" s="218"/>
      <c r="F321" s="220" t="e">
        <f>ROUND(Request!P36/(F268+G268)*Worksheet!F268*Worksheet!F$247+Request!P36/(F268+G268)*Worksheet!G268*Worksheet!G$247,0)</f>
        <v>#REF!</v>
      </c>
      <c r="G321" s="218"/>
      <c r="H321" s="220" t="e">
        <f>ROUND(Request!Q36/(H268+I268)*Worksheet!H268*Worksheet!H$247+Request!Q36/(H268+I268)*Worksheet!I268*Worksheet!I$247,0)</f>
        <v>#REF!</v>
      </c>
      <c r="I321" s="218"/>
      <c r="J321" s="220" t="str">
        <f>IF(J295=0,"",ROUND(Request!R36/(J268+K268)*Worksheet!J268*Worksheet!J$247+Request!R36/(J268+K268)*Worksheet!K268*Worksheet!K$247,0))</f>
        <v/>
      </c>
      <c r="K321" s="218"/>
    </row>
    <row r="322" spans="1:11" x14ac:dyDescent="0.15">
      <c r="A322" s="81">
        <f t="shared" si="77"/>
        <v>0</v>
      </c>
      <c r="B322" s="220" t="e">
        <f>IF((B269+C269)&lt;&gt;0,ROUND(Request!N37/Worksheet!H198*Worksheet!B269*Worksheet!$B$247+Request!N37/Worksheet!H198*Worksheet!C269*Worksheet!$C$247,0),0)</f>
        <v>#REF!</v>
      </c>
      <c r="C322" s="218"/>
      <c r="D322" s="220" t="e">
        <f>ROUND(Request!O37/(D269+E269)*Worksheet!D269*Worksheet!D$247+Request!O37/(D269+E269)*Worksheet!E269*Worksheet!E$247,0)</f>
        <v>#REF!</v>
      </c>
      <c r="E322" s="218"/>
      <c r="F322" s="220" t="e">
        <f>ROUND(Request!P37/(F269+G269)*Worksheet!F269*Worksheet!F$247+Request!P37/(F269+G269)*Worksheet!G269*Worksheet!G$247,0)</f>
        <v>#REF!</v>
      </c>
      <c r="G322" s="218"/>
      <c r="H322" s="220" t="e">
        <f>ROUND(Request!Q37/(H269+I269)*Worksheet!H269*Worksheet!H$247+Request!Q37/(H269+I269)*Worksheet!I269*Worksheet!I$247,0)</f>
        <v>#REF!</v>
      </c>
      <c r="I322" s="218"/>
      <c r="J322" s="220" t="str">
        <f>IF(J296=0,"",ROUND(Request!R37/(J269+K269)*Worksheet!J269*Worksheet!J$247+Request!R37/(J269+K269)*Worksheet!K269*Worksheet!K$247,0))</f>
        <v/>
      </c>
      <c r="K322" s="218"/>
    </row>
    <row r="323" spans="1:11" x14ac:dyDescent="0.15">
      <c r="A323" s="81">
        <f t="shared" si="77"/>
        <v>0</v>
      </c>
      <c r="B323" s="220" t="e">
        <f>IF((B270+C270)&lt;&gt;0,ROUND(Request!N38/Worksheet!H199*Worksheet!B270*Worksheet!$B$247+Request!N38/Worksheet!H199*Worksheet!C270*Worksheet!$C$247,0),0)</f>
        <v>#REF!</v>
      </c>
      <c r="C323" s="218"/>
      <c r="D323" s="220" t="e">
        <f>ROUND(Request!O38/(D270+E270)*Worksheet!D270*Worksheet!D$247+Request!O38/(D270+E270)*Worksheet!E270*Worksheet!E$247,0)</f>
        <v>#REF!</v>
      </c>
      <c r="E323" s="218"/>
      <c r="F323" s="220" t="e">
        <f>ROUND(Request!P38/(F270+G270)*Worksheet!F270*Worksheet!F$247+Request!P38/(F270+G270)*Worksheet!G270*Worksheet!G$247,0)</f>
        <v>#REF!</v>
      </c>
      <c r="G323" s="218"/>
      <c r="H323" s="220" t="e">
        <f>ROUND(Request!Q38/(H270+I270)*Worksheet!H270*Worksheet!H$247+Request!Q38/(H270+I270)*Worksheet!I270*Worksheet!I$247,0)</f>
        <v>#REF!</v>
      </c>
      <c r="I323" s="218"/>
      <c r="J323" s="220" t="str">
        <f>IF(J297=0,"",ROUND(Request!R38/(J270+K270)*Worksheet!J270*Worksheet!J$247+Request!R38/(J270+K270)*Worksheet!K270*Worksheet!K$247,0))</f>
        <v/>
      </c>
      <c r="K323" s="218"/>
    </row>
    <row r="324" spans="1:11" x14ac:dyDescent="0.15">
      <c r="A324" s="81">
        <f t="shared" si="77"/>
        <v>0</v>
      </c>
      <c r="B324" s="220" t="e">
        <f>IF((B271+C271)&lt;&gt;0,ROUND(Request!N39/Worksheet!H200*Worksheet!B271*Worksheet!$B$247+Request!N39/Worksheet!H200*Worksheet!C271*Worksheet!$C$247,0),0)</f>
        <v>#REF!</v>
      </c>
      <c r="C324" s="218"/>
      <c r="D324" s="220" t="e">
        <f>ROUND(Request!O39/(D271+E271)*Worksheet!D271*Worksheet!D$247+Request!O39/(D271+E271)*Worksheet!E271*Worksheet!E$247,0)</f>
        <v>#REF!</v>
      </c>
      <c r="E324" s="218"/>
      <c r="F324" s="220" t="e">
        <f>ROUND(Request!P39/(F271+G271)*Worksheet!F271*Worksheet!F$247+Request!P39/(F271+G271)*Worksheet!G271*Worksheet!G$247,0)</f>
        <v>#REF!</v>
      </c>
      <c r="G324" s="218"/>
      <c r="H324" s="220" t="e">
        <f>ROUND(Request!Q39/(H271+I271)*Worksheet!H271*Worksheet!H$247+Request!Q39/(H271+I271)*Worksheet!I271*Worksheet!I$247,0)</f>
        <v>#REF!</v>
      </c>
      <c r="I324" s="218"/>
      <c r="J324" s="220" t="str">
        <f>IF(J298=0,"",ROUND(Request!R39/(J271+K271)*Worksheet!J271*Worksheet!J$247+Request!R39/(J271+K271)*Worksheet!K271*Worksheet!K$247,0))</f>
        <v/>
      </c>
      <c r="K324" s="218"/>
    </row>
    <row r="327" spans="1:11" x14ac:dyDescent="0.15">
      <c r="A327" s="79" t="s">
        <v>168</v>
      </c>
      <c r="B327" s="219" t="s">
        <v>129</v>
      </c>
      <c r="C327" s="219"/>
      <c r="D327" s="219" t="s">
        <v>130</v>
      </c>
      <c r="E327" s="219"/>
      <c r="F327" s="219" t="s">
        <v>131</v>
      </c>
      <c r="G327" s="219"/>
      <c r="H327" s="219" t="s">
        <v>134</v>
      </c>
      <c r="I327" s="219"/>
      <c r="J327" s="219" t="s">
        <v>132</v>
      </c>
      <c r="K327" s="219"/>
    </row>
    <row r="328" spans="1:11" x14ac:dyDescent="0.15">
      <c r="A328" s="81" t="e">
        <f>#REF!</f>
        <v>#REF!</v>
      </c>
      <c r="B328" s="220">
        <f>IF(Worksheet!$C$5=0,"",IF(AND(Request!$S$12="Multi",Request!$R$12="FY"),ROUND(((1+Request!$M16)^Worksheet!$B$20*Worksheet!$C$9+(1+Request!$M16)^(Worksheet!$B$20+1)*Worksheet!$C$10)/(Worksheet!$C$5)*Request!$E16,0),(IF(AND(Request!$S$12="Multi",Request!$R$12="PY"),ROUND(Request!$E16/(Worksheet!$C$5)*Worksheet!$C$5,0),(IF(AND(Request!$S$12&lt;&gt;"Multi",Request!$R$12="FY"),ROUND(((1+Request!$S$12)^Worksheet!$B$20*Worksheet!$C$9+(1+Request!$S$12)^(Worksheet!$B$20+1)*Worksheet!$C$10)/Worksheet!$C$5*Request!$E16,0),ROUND(Request!$E16/Worksheet!$C$5*Worksheet!$C$5,0)))))))</f>
        <v>190000</v>
      </c>
      <c r="C328" s="218"/>
      <c r="D328" s="220" t="str">
        <f>IF(Worksheet!$D$5=0,"",IF($C$4=$D$4,(IF(AND(Request!$S$12="Multi",Request!$R$12="FY"),ROUND(((1+Request!$M16)^(Worksheet!$B$20)*Worksheet!$D$9+(1+Request!$M16)^(Worksheet!$B$20+1)*Worksheet!$D$10)/Worksheet!$D$5*Request!$E16,0),(IF(AND(Request!$S$12="Multi",Request!$R$12="PY"),ROUND(Request!$E16*(1+Request!$M16)/Worksheet!$D$5*Worksheet!$D$5,0),(IF(AND(Request!$S$12&lt;&gt;"Multi",Request!$R$12="FY"),ROUND(((1+Request!$S$12)^(Worksheet!$B$20)*Worksheet!$D$9+(1+Request!$S$12)^(Worksheet!$B$20+1)*Worksheet!$D$10)/Worksheet!$D$5*Request!$E16,0),ROUND(Request!$E16*(1+Request!$S$12)/Worksheet!$D$5*Worksheet!$D$5,0))))))),(IF(AND(Request!$S$12="Multi",Request!$R$12="FY"),ROUND(((1+Request!$M16)^(Worksheet!$B$20+1)*Worksheet!$D$9+(1+Request!$M16)^(Worksheet!$B$20+2)*Worksheet!$D$10)/Worksheet!$D$5*Request!$E16,0),(IF(AND(Request!$S$12="Multi",Request!$R$12="PY"),ROUND(Request!$E16*(1+Request!$M16)/Worksheet!$D$5*Worksheet!$D$5,0),(IF(AND(Request!$S$12&lt;&gt;"Multi",Request!$R$12="FY"),ROUND(((1+Request!$S$12)^(Worksheet!$B$20+1)*Worksheet!$D$9+(1+Request!$S$12)^(Worksheet!$B$20+2)*Worksheet!$D$10)/Worksheet!$D$5*Request!$E16,0),ROUND(Request!$E16*(1+Request!$S$12)/Worksheet!$D$5*Worksheet!$D$5,0)))))))))</f>
        <v/>
      </c>
      <c r="E328" s="218"/>
      <c r="F328" s="220" t="str">
        <f>IF(Worksheet!$E$5=0,"",IF($C$4=$D$4,(IF(AND(Request!$S$12="Multi",Request!$R$12="FY"),ROUND(((1+Request!$M16)^(Worksheet!$B$20+1)*Worksheet!$E$9+(1+Request!$M16)^(Worksheet!$B$20+3)*Worksheet!$E$10)/Worksheet!$E$5*Request!$E16,0),(IF(AND(Request!$S$12="Multi",Request!$R$12="PY"),ROUND(Request!$E16*((1+Request!$M16)^2)/Worksheet!$E$5*Worksheet!$E$5,0),(IF(AND(Request!$S$12&lt;&gt;"Multi",Request!$R$12="FY"),ROUND(((1+Request!$S$12)^(Worksheet!$B$20+1)*Worksheet!$E$9+(1+Request!$S$12)^(Worksheet!$B$20+2)*Worksheet!$E$10)/Worksheet!$E$5*Request!$E16,0),ROUND(Request!$E16*((1+Request!$S$12)^2)/Worksheet!$E$5*Worksheet!$E$5,0))))))),(IF(AND(Request!$S$12="Multi",Request!$R$12="FY"),ROUND(((1+Request!$M16)^(Worksheet!$B$20+2)*Worksheet!$E$9+(1+Request!$M16)^(Worksheet!$B$20+3)*Worksheet!$E$10)/Worksheet!$E$5*Request!$E16,0),(IF(AND(Request!$S$12="Multi",Request!$R$12="PY"),ROUND(Request!$E16*((1+Request!$M16)^2)/Worksheet!$E$5*Worksheet!$E$5,0),(IF(AND(Request!$S$12&lt;&gt;"Multi",Request!$R$12="FY"),ROUND(((1+Request!$S$12)^(Worksheet!$B$20+2)*Worksheet!$E$9+(1+Request!$S$12)^(Worksheet!$B$20+3)*Worksheet!$E$10)/Worksheet!$E$5*Request!$E16,0),ROUND(Request!$E16*((1+Request!$S$12)^2)/Worksheet!$E$5*Worksheet!$E$5,0)))))))))</f>
        <v/>
      </c>
      <c r="G328" s="218"/>
      <c r="H328" s="220" t="str">
        <f>IF(Worksheet!$F$5=0,"",IF($C$4=$D$4,(IF(AND(Request!$S$12="Multi",Request!$R$12="FY"),ROUND(((1+Request!$M16)^(Worksheet!$B$20+2)*Worksheet!$F$9+(1+Request!$M16)^(Worksheet!$B$20+3)*Worksheet!$F$10)/Worksheet!$F$5*Request!$E16,0),(IF(AND(Request!$S$12="Multi",Request!$R$12="PY"),ROUND(Request!$E16*((1+Request!$M16)^3)/Worksheet!$F$5*Worksheet!$F$5,0),(IF(AND(Request!$S$12&lt;&gt;"Multi",Request!$R$12="FY"),ROUND(((1+Request!$S$12)^(Worksheet!$B$20+2)*Worksheet!$F$9+(1+Request!$S$12)^(Worksheet!$B$20+3)*Worksheet!$F$10)/Worksheet!$F$5*Request!$E16,0),ROUND(Request!$E16*((1+Request!$S$12)^3)/Worksheet!$F$5*Worksheet!$F$5,0))))))),(IF(AND(Request!$S$12="Multi",Request!$R$12="FY"),ROUND(((1+Request!$M16)^(Worksheet!$B$20+3)*Worksheet!$F$9+(1+Request!$M16)^(Worksheet!$B$20+4)*Worksheet!$F$10)/Worksheet!$F$5*Request!$E16,0),(IF(AND(Request!$S$12="Multi",Request!$R$12="PY"),ROUND(Request!$E16*((1+Request!$M16)^3)/Worksheet!$F$5*Worksheet!$F$5,0),(IF(AND(Request!$S$12&lt;&gt;"Multi",Request!$R$12="FY"),ROUND(((1+Request!$S$12)^(Worksheet!$B$20+3)*Worksheet!$F$9+(1+Request!$S$12)^(Worksheet!$B$20+4)*Worksheet!$F$10)/Worksheet!$F$5*Request!$E16,0),ROUND(Request!$E16*((1+Request!$S$12)^3)/Worksheet!$F$5*Worksheet!$F$5,0)))))))))</f>
        <v/>
      </c>
      <c r="I328" s="218"/>
      <c r="J328" s="220" t="str">
        <f>IF(Worksheet!$G$5=0,"",IF($C$4=$D$4,(IF(AND(Request!$S$12="Multi",Request!$R$12="FY"),ROUND(((1+Request!$M16)^(Worksheet!$B$20+3)*Worksheet!$G$9+(1+Request!$M16)^(Worksheet!$B$20+4)*Worksheet!$G$10)/Worksheet!$G$5*Request!$E16,0),(IF(AND(Request!$S$12="Multi",Request!$R$12="PY"),ROUND(Request!$E16*((1+Request!$M16)^4)/Worksheet!$G$5*Worksheet!$G$5,0),(IF(AND(Request!$S$12&lt;&gt;"Multi",Request!$R$12="FY"),ROUND(((1+Request!$S$12)^(Worksheet!$B$20+3)*Worksheet!$G$9+(1+Request!$S$12)^(Worksheet!$B$20+4)*Worksheet!$G$10)/Worksheet!$G$5*Request!$E16,0),ROUND(Request!$E16*((1+Request!$S$12)^4)/Worksheet!$G$5*Worksheet!$G$5,0))))))),(IF(AND(Request!$S$12="Multi",Request!$R$12="FY"),ROUND(((1+Request!$M16)^(Worksheet!$B$20+4)*Worksheet!$G$9+(1+Request!$M16)^(Worksheet!$B$20+5)*Worksheet!$G$10)/Worksheet!$G$5*Request!$E16,0),(IF(AND(Request!$S$12="Multi",Request!$R$12="PY"),ROUND(Request!$E16*((1+Request!$M16)^4)/Worksheet!$G$5*Worksheet!$G$5,0),(IF(AND(Request!$S$12&lt;&gt;"Multi",Request!$R$12="FY"),ROUND(((1+Request!$S$12)^(Worksheet!$B$20+4)*Worksheet!$G$9+(1+Request!$S$12)^(Worksheet!$B$20+5)*Worksheet!$G$10)/Worksheet!$G$5*Request!$E16,0),ROUND(Request!$E16*((1+Request!$S$12)^4)/Worksheet!$G$5*Worksheet!$G$5,0)))))))))</f>
        <v/>
      </c>
      <c r="K328" s="218"/>
    </row>
    <row r="329" spans="1:11" x14ac:dyDescent="0.15">
      <c r="A329" s="81" t="e">
        <f>#REF!</f>
        <v>#REF!</v>
      </c>
      <c r="B329" s="220">
        <f>IF(Worksheet!$C$5=0,"",IF(AND(Request!$S$12="Multi",Request!$R$12="FY"),ROUND(((1+Request!$M17)^Worksheet!$B$20*Worksheet!$C$9+(1+Request!$M17)^(Worksheet!$B$20+1)*Worksheet!$C$10)/(Worksheet!$C$5)*Request!$E17,0),(IF(AND(Request!$S$12="Multi",Request!$R$12="PY"),ROUND(Request!$E17/(Worksheet!$C$5)*Worksheet!$C$5,0),(IF(AND(Request!$S$12&lt;&gt;"Multi",Request!$R$12="FY"),ROUND(((1+Request!$S$12)^Worksheet!$B$20*Worksheet!$C$9+(1+Request!$S$12)^(Worksheet!$B$20+1)*Worksheet!$C$10)/Worksheet!$C$5*Request!$E17,0),ROUND(Request!$E17/Worksheet!$C$5*Worksheet!$C$5,0)))))))</f>
        <v>75000</v>
      </c>
      <c r="C329" s="218"/>
      <c r="D329" s="220" t="str">
        <f>IF(Worksheet!$D$5=0,"",IF($C$4=$D$4,(IF(AND(Request!$S$12="Multi",Request!$R$12="FY"),ROUND(((1+Request!$M17)^(Worksheet!$B$20)*Worksheet!$D$9+(1+Request!$M17)^(Worksheet!$B$20+1)*Worksheet!$D$10)/Worksheet!$D$5*Request!$E17,0),(IF(AND(Request!$S$12="Multi",Request!$R$12="PY"),ROUND(Request!$E17*(1+Request!$M17)/Worksheet!$D$5*Worksheet!$D$5,0),(IF(AND(Request!$S$12&lt;&gt;"Multi",Request!$R$12="FY"),ROUND(((1+Request!$S$12)^(Worksheet!$B$20)*Worksheet!$D$9+(1+Request!$S$12)^(Worksheet!$B$20+1)*Worksheet!$D$10)/Worksheet!$D$5*Request!$E17,0),ROUND(Request!$E17*(1+Request!$S$12)/Worksheet!$D$5*Worksheet!$D$5,0))))))),(IF(AND(Request!$S$12="Multi",Request!$R$12="FY"),ROUND(((1+Request!$M17)^(Worksheet!$B$20+1)*Worksheet!$D$9+(1+Request!$M17)^(Worksheet!$B$20+2)*Worksheet!$D$10)/Worksheet!$D$5*Request!$E17,0),(IF(AND(Request!$S$12="Multi",Request!$R$12="PY"),ROUND(Request!$E17*(1+Request!$M17)/Worksheet!$D$5*Worksheet!$D$5,0),(IF(AND(Request!$S$12&lt;&gt;"Multi",Request!$R$12="FY"),ROUND(((1+Request!$S$12)^(Worksheet!$B$20+1)*Worksheet!$D$9+(1+Request!$S$12)^(Worksheet!$B$20+2)*Worksheet!$D$10)/Worksheet!$D$5*Request!$E17,0),ROUND(Request!$E17*(1+Request!$S$12)/Worksheet!$D$5*Worksheet!$D$5,0)))))))))</f>
        <v/>
      </c>
      <c r="E329" s="218"/>
      <c r="F329" s="220" t="str">
        <f>IF(Worksheet!$E$5=0,"",IF($C$4=$D$4,(IF(AND(Request!$S$12="Multi",Request!$R$12="FY"),ROUND(((1+Request!$M17)^(Worksheet!$B$20+1)*Worksheet!$E$9+(1+Request!$M17)^(Worksheet!$B$20+3)*Worksheet!$E$10)/Worksheet!$E$5*Request!$E17,0),(IF(AND(Request!$S$12="Multi",Request!$R$12="PY"),ROUND(Request!$E17*((1+Request!$M17)^2)/Worksheet!$E$5*Worksheet!$E$5,0),(IF(AND(Request!$S$12&lt;&gt;"Multi",Request!$R$12="FY"),ROUND(((1+Request!$S$12)^(Worksheet!$B$20+1)*Worksheet!$E$9+(1+Request!$S$12)^(Worksheet!$B$20+2)*Worksheet!$E$10)/Worksheet!$E$5*Request!$E17,0),ROUND(Request!$E17*((1+Request!$S$12)^2)/Worksheet!$E$5*Worksheet!$E$5,0))))))),(IF(AND(Request!$S$12="Multi",Request!$R$12="FY"),ROUND(((1+Request!$M17)^(Worksheet!$B$20+2)*Worksheet!$E$9+(1+Request!$M17)^(Worksheet!$B$20+3)*Worksheet!$E$10)/Worksheet!$E$5*Request!$E17,0),(IF(AND(Request!$S$12="Multi",Request!$R$12="PY"),ROUND(Request!$E17*((1+Request!$M17)^2)/Worksheet!$E$5*Worksheet!$E$5,0),(IF(AND(Request!$S$12&lt;&gt;"Multi",Request!$R$12="FY"),ROUND(((1+Request!$S$12)^(Worksheet!$B$20+2)*Worksheet!$E$9+(1+Request!$S$12)^(Worksheet!$B$20+3)*Worksheet!$E$10)/Worksheet!$E$5*Request!$E17,0),ROUND(Request!$E17*((1+Request!$S$12)^2)/Worksheet!$E$5*Worksheet!$E$5,0)))))))))</f>
        <v/>
      </c>
      <c r="G329" s="218"/>
      <c r="H329" s="220" t="str">
        <f>IF(Worksheet!$F$5=0,"",IF($C$4=$D$4,(IF(AND(Request!$S$12="Multi",Request!$R$12="FY"),ROUND(((1+Request!$M17)^(Worksheet!$B$20+2)*Worksheet!$F$9+(1+Request!$M17)^(Worksheet!$B$20+3)*Worksheet!$F$10)/Worksheet!$F$5*Request!$E17,0),(IF(AND(Request!$S$12="Multi",Request!$R$12="PY"),ROUND(Request!$E17*((1+Request!$M17)^3)/Worksheet!$F$5*Worksheet!$F$5,0),(IF(AND(Request!$S$12&lt;&gt;"Multi",Request!$R$12="FY"),ROUND(((1+Request!$S$12)^(Worksheet!$B$20+2)*Worksheet!$F$9+(1+Request!$S$12)^(Worksheet!$B$20+3)*Worksheet!$F$10)/Worksheet!$F$5*Request!$E17,0),ROUND(Request!$E17*((1+Request!$S$12)^3)/Worksheet!$F$5*Worksheet!$F$5,0))))))),(IF(AND(Request!$S$12="Multi",Request!$R$12="FY"),ROUND(((1+Request!$M17)^(Worksheet!$B$20+3)*Worksheet!$F$9+(1+Request!$M17)^(Worksheet!$B$20+4)*Worksheet!$F$10)/Worksheet!$F$5*Request!$E17,0),(IF(AND(Request!$S$12="Multi",Request!$R$12="PY"),ROUND(Request!$E17*((1+Request!$M17)^3)/Worksheet!$F$5*Worksheet!$F$5,0),(IF(AND(Request!$S$12&lt;&gt;"Multi",Request!$R$12="FY"),ROUND(((1+Request!$S$12)^(Worksheet!$B$20+3)*Worksheet!$F$9+(1+Request!$S$12)^(Worksheet!$B$20+4)*Worksheet!$F$10)/Worksheet!$F$5*Request!$E17,0),ROUND(Request!$E17*((1+Request!$S$12)^3)/Worksheet!$F$5*Worksheet!$F$5,0)))))))))</f>
        <v/>
      </c>
      <c r="I329" s="218"/>
      <c r="J329" s="220" t="str">
        <f>IF(Worksheet!$G$5=0,"",IF($C$4=$D$4,(IF(AND(Request!$S$12="Multi",Request!$R$12="FY"),ROUND(((1+Request!$M17)^(Worksheet!$B$20+3)*Worksheet!$G$9+(1+Request!$M17)^(Worksheet!$B$20+4)*Worksheet!$G$10)/Worksheet!$G$5*Request!$E17,0),(IF(AND(Request!$S$12="Multi",Request!$R$12="PY"),ROUND(Request!$E17*((1+Request!$M17)^4)/Worksheet!$G$5*Worksheet!$G$5,0),(IF(AND(Request!$S$12&lt;&gt;"Multi",Request!$R$12="FY"),ROUND(((1+Request!$S$12)^(Worksheet!$B$20+3)*Worksheet!$G$9+(1+Request!$S$12)^(Worksheet!$B$20+4)*Worksheet!$G$10)/Worksheet!$G$5*Request!$E17,0),ROUND(Request!$E17*((1+Request!$S$12)^4)/Worksheet!$G$5*Worksheet!$G$5,0))))))),(IF(AND(Request!$S$12="Multi",Request!$R$12="FY"),ROUND(((1+Request!$M17)^(Worksheet!$B$20+4)*Worksheet!$G$9+(1+Request!$M17)^(Worksheet!$B$20+5)*Worksheet!$G$10)/Worksheet!$G$5*Request!$E17,0),(IF(AND(Request!$S$12="Multi",Request!$R$12="PY"),ROUND(Request!$E17*((1+Request!$M17)^4)/Worksheet!$G$5*Worksheet!$G$5,0),(IF(AND(Request!$S$12&lt;&gt;"Multi",Request!$R$12="FY"),ROUND(((1+Request!$S$12)^(Worksheet!$B$20+4)*Worksheet!$G$9+(1+Request!$S$12)^(Worksheet!$B$20+5)*Worksheet!$G$10)/Worksheet!$G$5*Request!$E17,0),ROUND(Request!$E17*((1+Request!$S$12)^4)/Worksheet!$G$5*Worksheet!$G$5,0)))))))))</f>
        <v/>
      </c>
      <c r="K329" s="218"/>
    </row>
    <row r="330" spans="1:11" x14ac:dyDescent="0.15">
      <c r="A330" s="81" t="e">
        <f>#REF!</f>
        <v>#REF!</v>
      </c>
      <c r="B330" s="220">
        <f>IF(Worksheet!$C$5=0,"",IF(AND(Request!$S$12="Multi",Request!$R$12="FY"),ROUND(((1+Request!$M18)^Worksheet!$B$20*Worksheet!$C$9+(1+Request!$M18)^(Worksheet!$B$20+1)*Worksheet!$C$10)/(Worksheet!$C$5)*Request!$E18,0),(IF(AND(Request!$S$12="Multi",Request!$R$12="PY"),ROUND(Request!$E18/(Worksheet!$C$5)*Worksheet!$C$5,0),(IF(AND(Request!$S$12&lt;&gt;"Multi",Request!$R$12="FY"),ROUND(((1+Request!$S$12)^Worksheet!$B$20*Worksheet!$C$9+(1+Request!$S$12)^(Worksheet!$B$20+1)*Worksheet!$C$10)/Worksheet!$C$5*Request!$E18,0),ROUND(Request!$E18/Worksheet!$C$5*Worksheet!$C$5,0)))))))</f>
        <v>50000</v>
      </c>
      <c r="C330" s="218"/>
      <c r="D330" s="220" t="str">
        <f>IF(Worksheet!$D$5=0,"",IF($C$4=$D$4,(IF(AND(Request!$S$12="Multi",Request!$R$12="FY"),ROUND(((1+Request!$M18)^(Worksheet!$B$20)*Worksheet!$D$9+(1+Request!$M18)^(Worksheet!$B$20+1)*Worksheet!$D$10)/Worksheet!$D$5*Request!$E18,0),(IF(AND(Request!$S$12="Multi",Request!$R$12="PY"),ROUND(Request!$E18*(1+Request!$M18)/Worksheet!$D$5*Worksheet!$D$5,0),(IF(AND(Request!$S$12&lt;&gt;"Multi",Request!$R$12="FY"),ROUND(((1+Request!$S$12)^(Worksheet!$B$20)*Worksheet!$D$9+(1+Request!$S$12)^(Worksheet!$B$20+1)*Worksheet!$D$10)/Worksheet!$D$5*Request!$E18,0),ROUND(Request!$E18*(1+Request!$S$12)/Worksheet!$D$5*Worksheet!$D$5,0))))))),(IF(AND(Request!$S$12="Multi",Request!$R$12="FY"),ROUND(((1+Request!$M18)^(Worksheet!$B$20+1)*Worksheet!$D$9+(1+Request!$M18)^(Worksheet!$B$20+2)*Worksheet!$D$10)/Worksheet!$D$5*Request!$E18,0),(IF(AND(Request!$S$12="Multi",Request!$R$12="PY"),ROUND(Request!$E18*(1+Request!$M18)/Worksheet!$D$5*Worksheet!$D$5,0),(IF(AND(Request!$S$12&lt;&gt;"Multi",Request!$R$12="FY"),ROUND(((1+Request!$S$12)^(Worksheet!$B$20+1)*Worksheet!$D$9+(1+Request!$S$12)^(Worksheet!$B$20+2)*Worksheet!$D$10)/Worksheet!$D$5*Request!$E18,0),ROUND(Request!$E18*(1+Request!$S$12)/Worksheet!$D$5*Worksheet!$D$5,0)))))))))</f>
        <v/>
      </c>
      <c r="E330" s="218"/>
      <c r="F330" s="220" t="str">
        <f>IF(Worksheet!$E$5=0,"",IF($C$4=$D$4,(IF(AND(Request!$S$12="Multi",Request!$R$12="FY"),ROUND(((1+Request!$M18)^(Worksheet!$B$20+1)*Worksheet!$E$9+(1+Request!$M18)^(Worksheet!$B$20+3)*Worksheet!$E$10)/Worksheet!$E$5*Request!$E18,0),(IF(AND(Request!$S$12="Multi",Request!$R$12="PY"),ROUND(Request!$E18*((1+Request!$M18)^2)/Worksheet!$E$5*Worksheet!$E$5,0),(IF(AND(Request!$S$12&lt;&gt;"Multi",Request!$R$12="FY"),ROUND(((1+Request!$S$12)^(Worksheet!$B$20+1)*Worksheet!$E$9+(1+Request!$S$12)^(Worksheet!$B$20+2)*Worksheet!$E$10)/Worksheet!$E$5*Request!$E18,0),ROUND(Request!$E18*((1+Request!$S$12)^2)/Worksheet!$E$5*Worksheet!$E$5,0))))))),(IF(AND(Request!$S$12="Multi",Request!$R$12="FY"),ROUND(((1+Request!$M18)^(Worksheet!$B$20+2)*Worksheet!$E$9+(1+Request!$M18)^(Worksheet!$B$20+3)*Worksheet!$E$10)/Worksheet!$E$5*Request!$E18,0),(IF(AND(Request!$S$12="Multi",Request!$R$12="PY"),ROUND(Request!$E18*((1+Request!$M18)^2)/Worksheet!$E$5*Worksheet!$E$5,0),(IF(AND(Request!$S$12&lt;&gt;"Multi",Request!$R$12="FY"),ROUND(((1+Request!$S$12)^(Worksheet!$B$20+2)*Worksheet!$E$9+(1+Request!$S$12)^(Worksheet!$B$20+3)*Worksheet!$E$10)/Worksheet!$E$5*Request!$E18,0),ROUND(Request!$E18*((1+Request!$S$12)^2)/Worksheet!$E$5*Worksheet!$E$5,0)))))))))</f>
        <v/>
      </c>
      <c r="G330" s="218"/>
      <c r="H330" s="220" t="str">
        <f>IF(Worksheet!$F$5=0,"",IF($C$4=$D$4,(IF(AND(Request!$S$12="Multi",Request!$R$12="FY"),ROUND(((1+Request!$M18)^(Worksheet!$B$20+2)*Worksheet!$F$9+(1+Request!$M18)^(Worksheet!$B$20+3)*Worksheet!$F$10)/Worksheet!$F$5*Request!$E18,0),(IF(AND(Request!$S$12="Multi",Request!$R$12="PY"),ROUND(Request!$E18*((1+Request!$M18)^3)/Worksheet!$F$5*Worksheet!$F$5,0),(IF(AND(Request!$S$12&lt;&gt;"Multi",Request!$R$12="FY"),ROUND(((1+Request!$S$12)^(Worksheet!$B$20+2)*Worksheet!$F$9+(1+Request!$S$12)^(Worksheet!$B$20+3)*Worksheet!$F$10)/Worksheet!$F$5*Request!$E18,0),ROUND(Request!$E18*((1+Request!$S$12)^3)/Worksheet!$F$5*Worksheet!$F$5,0))))))),(IF(AND(Request!$S$12="Multi",Request!$R$12="FY"),ROUND(((1+Request!$M18)^(Worksheet!$B$20+3)*Worksheet!$F$9+(1+Request!$M18)^(Worksheet!$B$20+4)*Worksheet!$F$10)/Worksheet!$F$5*Request!$E18,0),(IF(AND(Request!$S$12="Multi",Request!$R$12="PY"),ROUND(Request!$E18*((1+Request!$M18)^3)/Worksheet!$F$5*Worksheet!$F$5,0),(IF(AND(Request!$S$12&lt;&gt;"Multi",Request!$R$12="FY"),ROUND(((1+Request!$S$12)^(Worksheet!$B$20+3)*Worksheet!$F$9+(1+Request!$S$12)^(Worksheet!$B$20+4)*Worksheet!$F$10)/Worksheet!$F$5*Request!$E18,0),ROUND(Request!$E18*((1+Request!$S$12)^3)/Worksheet!$F$5*Worksheet!$F$5,0)))))))))</f>
        <v/>
      </c>
      <c r="I330" s="218"/>
      <c r="J330" s="220" t="str">
        <f>IF(Worksheet!$G$5=0,"",IF($C$4=$D$4,(IF(AND(Request!$S$12="Multi",Request!$R$12="FY"),ROUND(((1+Request!$M18)^(Worksheet!$B$20+3)*Worksheet!$G$9+(1+Request!$M18)^(Worksheet!$B$20+4)*Worksheet!$G$10)/Worksheet!$G$5*Request!$E18,0),(IF(AND(Request!$S$12="Multi",Request!$R$12="PY"),ROUND(Request!$E18*((1+Request!$M18)^4)/Worksheet!$G$5*Worksheet!$G$5,0),(IF(AND(Request!$S$12&lt;&gt;"Multi",Request!$R$12="FY"),ROUND(((1+Request!$S$12)^(Worksheet!$B$20+3)*Worksheet!$G$9+(1+Request!$S$12)^(Worksheet!$B$20+4)*Worksheet!$G$10)/Worksheet!$G$5*Request!$E18,0),ROUND(Request!$E18*((1+Request!$S$12)^4)/Worksheet!$G$5*Worksheet!$G$5,0))))))),(IF(AND(Request!$S$12="Multi",Request!$R$12="FY"),ROUND(((1+Request!$M18)^(Worksheet!$B$20+4)*Worksheet!$G$9+(1+Request!$M18)^(Worksheet!$B$20+5)*Worksheet!$G$10)/Worksheet!$G$5*Request!$E18,0),(IF(AND(Request!$S$12="Multi",Request!$R$12="PY"),ROUND(Request!$E18*((1+Request!$M18)^4)/Worksheet!$G$5*Worksheet!$G$5,0),(IF(AND(Request!$S$12&lt;&gt;"Multi",Request!$R$12="FY"),ROUND(((1+Request!$S$12)^(Worksheet!$B$20+4)*Worksheet!$G$9+(1+Request!$S$12)^(Worksheet!$B$20+5)*Worksheet!$G$10)/Worksheet!$G$5*Request!$E18,0),ROUND(Request!$E18*((1+Request!$S$12)^4)/Worksheet!$G$5*Worksheet!$G$5,0)))))))))</f>
        <v/>
      </c>
      <c r="K330" s="218"/>
    </row>
    <row r="331" spans="1:11" x14ac:dyDescent="0.15">
      <c r="A331" s="81" t="e">
        <f>#REF!</f>
        <v>#REF!</v>
      </c>
      <c r="B331" s="220">
        <f>IF(Worksheet!$C$5=0,"",IF(AND(Request!$S$12="Multi",Request!$R$12="FY"),ROUND(((1+Request!$M19)^Worksheet!$B$20*Worksheet!$C$9+(1+Request!$M19)^(Worksheet!$B$20+1)*Worksheet!$C$10)/(Worksheet!$C$5)*Request!$E19,0),(IF(AND(Request!$S$12="Multi",Request!$R$12="PY"),ROUND(Request!$E19/(Worksheet!$C$5)*Worksheet!$C$5,0),(IF(AND(Request!$S$12&lt;&gt;"Multi",Request!$R$12="FY"),ROUND(((1+Request!$S$12)^Worksheet!$B$20*Worksheet!$C$9+(1+Request!$S$12)^(Worksheet!$B$20+1)*Worksheet!$C$10)/Worksheet!$C$5*Request!$E19,0),ROUND(Request!$E19/Worksheet!$C$5*Worksheet!$C$5,0)))))))</f>
        <v>25000</v>
      </c>
      <c r="C331" s="218"/>
      <c r="D331" s="220" t="str">
        <f>IF(Worksheet!$D$5=0,"",IF($C$4=$D$4,(IF(AND(Request!$S$12="Multi",Request!$R$12="FY"),ROUND(((1+Request!$M19)^(Worksheet!$B$20)*Worksheet!$D$9+(1+Request!$M19)^(Worksheet!$B$20+1)*Worksheet!$D$10)/Worksheet!$D$5*Request!$E19,0),(IF(AND(Request!$S$12="Multi",Request!$R$12="PY"),ROUND(Request!$E19*(1+Request!$M19)/Worksheet!$D$5*Worksheet!$D$5,0),(IF(AND(Request!$S$12&lt;&gt;"Multi",Request!$R$12="FY"),ROUND(((1+Request!$S$12)^(Worksheet!$B$20)*Worksheet!$D$9+(1+Request!$S$12)^(Worksheet!$B$20+1)*Worksheet!$D$10)/Worksheet!$D$5*Request!$E19,0),ROUND(Request!$E19*(1+Request!$S$12)/Worksheet!$D$5*Worksheet!$D$5,0))))))),(IF(AND(Request!$S$12="Multi",Request!$R$12="FY"),ROUND(((1+Request!$M19)^(Worksheet!$B$20+1)*Worksheet!$D$9+(1+Request!$M19)^(Worksheet!$B$20+2)*Worksheet!$D$10)/Worksheet!$D$5*Request!$E19,0),(IF(AND(Request!$S$12="Multi",Request!$R$12="PY"),ROUND(Request!$E19*(1+Request!$M19)/Worksheet!$D$5*Worksheet!$D$5,0),(IF(AND(Request!$S$12&lt;&gt;"Multi",Request!$R$12="FY"),ROUND(((1+Request!$S$12)^(Worksheet!$B$20+1)*Worksheet!$D$9+(1+Request!$S$12)^(Worksheet!$B$20+2)*Worksheet!$D$10)/Worksheet!$D$5*Request!$E19,0),ROUND(Request!$E19*(1+Request!$S$12)/Worksheet!$D$5*Worksheet!$D$5,0)))))))))</f>
        <v/>
      </c>
      <c r="E331" s="218"/>
      <c r="F331" s="220" t="str">
        <f>IF(Worksheet!$E$5=0,"",IF($C$4=$D$4,(IF(AND(Request!$S$12="Multi",Request!$R$12="FY"),ROUND(((1+Request!$M19)^(Worksheet!$B$20+1)*Worksheet!$E$9+(1+Request!$M19)^(Worksheet!$B$20+3)*Worksheet!$E$10)/Worksheet!$E$5*Request!$E19,0),(IF(AND(Request!$S$12="Multi",Request!$R$12="PY"),ROUND(Request!$E19*((1+Request!$M19)^2)/Worksheet!$E$5*Worksheet!$E$5,0),(IF(AND(Request!$S$12&lt;&gt;"Multi",Request!$R$12="FY"),ROUND(((1+Request!$S$12)^(Worksheet!$B$20+1)*Worksheet!$E$9+(1+Request!$S$12)^(Worksheet!$B$20+2)*Worksheet!$E$10)/Worksheet!$E$5*Request!$E19,0),ROUND(Request!$E19*((1+Request!$S$12)^2)/Worksheet!$E$5*Worksheet!$E$5,0))))))),(IF(AND(Request!$S$12="Multi",Request!$R$12="FY"),ROUND(((1+Request!$M19)^(Worksheet!$B$20+2)*Worksheet!$E$9+(1+Request!$M19)^(Worksheet!$B$20+3)*Worksheet!$E$10)/Worksheet!$E$5*Request!$E19,0),(IF(AND(Request!$S$12="Multi",Request!$R$12="PY"),ROUND(Request!$E19*((1+Request!$M19)^2)/Worksheet!$E$5*Worksheet!$E$5,0),(IF(AND(Request!$S$12&lt;&gt;"Multi",Request!$R$12="FY"),ROUND(((1+Request!$S$12)^(Worksheet!$B$20+2)*Worksheet!$E$9+(1+Request!$S$12)^(Worksheet!$B$20+3)*Worksheet!$E$10)/Worksheet!$E$5*Request!$E19,0),ROUND(Request!$E19*((1+Request!$S$12)^2)/Worksheet!$E$5*Worksheet!$E$5,0)))))))))</f>
        <v/>
      </c>
      <c r="G331" s="218"/>
      <c r="H331" s="220" t="str">
        <f>IF(Worksheet!$F$5=0,"",IF($C$4=$D$4,(IF(AND(Request!$S$12="Multi",Request!$R$12="FY"),ROUND(((1+Request!$M19)^(Worksheet!$B$20+2)*Worksheet!$F$9+(1+Request!$M19)^(Worksheet!$B$20+3)*Worksheet!$F$10)/Worksheet!$F$5*Request!$E19,0),(IF(AND(Request!$S$12="Multi",Request!$R$12="PY"),ROUND(Request!$E19*((1+Request!$M19)^3)/Worksheet!$F$5*Worksheet!$F$5,0),(IF(AND(Request!$S$12&lt;&gt;"Multi",Request!$R$12="FY"),ROUND(((1+Request!$S$12)^(Worksheet!$B$20+2)*Worksheet!$F$9+(1+Request!$S$12)^(Worksheet!$B$20+3)*Worksheet!$F$10)/Worksheet!$F$5*Request!$E19,0),ROUND(Request!$E19*((1+Request!$S$12)^3)/Worksheet!$F$5*Worksheet!$F$5,0))))))),(IF(AND(Request!$S$12="Multi",Request!$R$12="FY"),ROUND(((1+Request!$M19)^(Worksheet!$B$20+3)*Worksheet!$F$9+(1+Request!$M19)^(Worksheet!$B$20+4)*Worksheet!$F$10)/Worksheet!$F$5*Request!$E19,0),(IF(AND(Request!$S$12="Multi",Request!$R$12="PY"),ROUND(Request!$E19*((1+Request!$M19)^3)/Worksheet!$F$5*Worksheet!$F$5,0),(IF(AND(Request!$S$12&lt;&gt;"Multi",Request!$R$12="FY"),ROUND(((1+Request!$S$12)^(Worksheet!$B$20+3)*Worksheet!$F$9+(1+Request!$S$12)^(Worksheet!$B$20+4)*Worksheet!$F$10)/Worksheet!$F$5*Request!$E19,0),ROUND(Request!$E19*((1+Request!$S$12)^3)/Worksheet!$F$5*Worksheet!$F$5,0)))))))))</f>
        <v/>
      </c>
      <c r="I331" s="218"/>
      <c r="J331" s="220" t="str">
        <f>IF(Worksheet!$G$5=0,"",IF($C$4=$D$4,(IF(AND(Request!$S$12="Multi",Request!$R$12="FY"),ROUND(((1+Request!$M19)^(Worksheet!$B$20+3)*Worksheet!$G$9+(1+Request!$M19)^(Worksheet!$B$20+4)*Worksheet!$G$10)/Worksheet!$G$5*Request!$E19,0),(IF(AND(Request!$S$12="Multi",Request!$R$12="PY"),ROUND(Request!$E19*((1+Request!$M19)^4)/Worksheet!$G$5*Worksheet!$G$5,0),(IF(AND(Request!$S$12&lt;&gt;"Multi",Request!$R$12="FY"),ROUND(((1+Request!$S$12)^(Worksheet!$B$20+3)*Worksheet!$G$9+(1+Request!$S$12)^(Worksheet!$B$20+4)*Worksheet!$G$10)/Worksheet!$G$5*Request!$E19,0),ROUND(Request!$E19*((1+Request!$S$12)^4)/Worksheet!$G$5*Worksheet!$G$5,0))))))),(IF(AND(Request!$S$12="Multi",Request!$R$12="FY"),ROUND(((1+Request!$M19)^(Worksheet!$B$20+4)*Worksheet!$G$9+(1+Request!$M19)^(Worksheet!$B$20+5)*Worksheet!$G$10)/Worksheet!$G$5*Request!$E19,0),(IF(AND(Request!$S$12="Multi",Request!$R$12="PY"),ROUND(Request!$E19*((1+Request!$M19)^4)/Worksheet!$G$5*Worksheet!$G$5,0),(IF(AND(Request!$S$12&lt;&gt;"Multi",Request!$R$12="FY"),ROUND(((1+Request!$S$12)^(Worksheet!$B$20+4)*Worksheet!$G$9+(1+Request!$S$12)^(Worksheet!$B$20+5)*Worksheet!$G$10)/Worksheet!$G$5*Request!$E19,0),ROUND(Request!$E19*((1+Request!$S$12)^4)/Worksheet!$G$5*Worksheet!$G$5,0)))))))))</f>
        <v/>
      </c>
      <c r="K331" s="218"/>
    </row>
    <row r="332" spans="1:11" x14ac:dyDescent="0.15">
      <c r="A332" s="81" t="e">
        <f>#REF!</f>
        <v>#REF!</v>
      </c>
      <c r="B332" s="220">
        <f>IF(Worksheet!$C$5=0,"",IF(AND(Request!$S$12="Multi",Request!$R$12="FY"),ROUND(((1+Request!$M20)^Worksheet!$B$20*Worksheet!$C$9+(1+Request!$M20)^(Worksheet!$B$20+1)*Worksheet!$C$10)/(Worksheet!$C$5)*Request!$E20,0),(IF(AND(Request!$S$12="Multi",Request!$R$12="PY"),ROUND(Request!$E20/(Worksheet!$C$5)*Worksheet!$C$5,0),(IF(AND(Request!$S$12&lt;&gt;"Multi",Request!$R$12="FY"),ROUND(((1+Request!$S$12)^Worksheet!$B$20*Worksheet!$C$9+(1+Request!$S$12)^(Worksheet!$B$20+1)*Worksheet!$C$10)/Worksheet!$C$5*Request!$E20,0),ROUND(Request!$E20/Worksheet!$C$5*Worksheet!$C$5,0)))))))</f>
        <v>0</v>
      </c>
      <c r="C332" s="218"/>
      <c r="D332" s="220" t="str">
        <f>IF(Worksheet!$D$5=0,"",IF($C$4=$D$4,(IF(AND(Request!$S$12="Multi",Request!$R$12="FY"),ROUND(((1+Request!$M20)^(Worksheet!$B$20)*Worksheet!$D$9+(1+Request!$M20)^(Worksheet!$B$20+1)*Worksheet!$D$10)/Worksheet!$D$5*Request!$E20,0),(IF(AND(Request!$S$12="Multi",Request!$R$12="PY"),ROUND(Request!$E20*(1+Request!$M20)/Worksheet!$D$5*Worksheet!$D$5,0),(IF(AND(Request!$S$12&lt;&gt;"Multi",Request!$R$12="FY"),ROUND(((1+Request!$S$12)^(Worksheet!$B$20)*Worksheet!$D$9+(1+Request!$S$12)^(Worksheet!$B$20+1)*Worksheet!$D$10)/Worksheet!$D$5*Request!$E20,0),ROUND(Request!$E20*(1+Request!$S$12)/Worksheet!$D$5*Worksheet!$D$5,0))))))),(IF(AND(Request!$S$12="Multi",Request!$R$12="FY"),ROUND(((1+Request!$M20)^(Worksheet!$B$20+1)*Worksheet!$D$9+(1+Request!$M20)^(Worksheet!$B$20+2)*Worksheet!$D$10)/Worksheet!$D$5*Request!$E20,0),(IF(AND(Request!$S$12="Multi",Request!$R$12="PY"),ROUND(Request!$E20*(1+Request!$M20)/Worksheet!$D$5*Worksheet!$D$5,0),(IF(AND(Request!$S$12&lt;&gt;"Multi",Request!$R$12="FY"),ROUND(((1+Request!$S$12)^(Worksheet!$B$20+1)*Worksheet!$D$9+(1+Request!$S$12)^(Worksheet!$B$20+2)*Worksheet!$D$10)/Worksheet!$D$5*Request!$E20,0),ROUND(Request!$E20*(1+Request!$S$12)/Worksheet!$D$5*Worksheet!$D$5,0)))))))))</f>
        <v/>
      </c>
      <c r="E332" s="218"/>
      <c r="F332" s="220" t="str">
        <f>IF(Worksheet!$E$5=0,"",IF($C$4=$D$4,(IF(AND(Request!$S$12="Multi",Request!$R$12="FY"),ROUND(((1+Request!$M20)^(Worksheet!$B$20+1)*Worksheet!$E$9+(1+Request!$M20)^(Worksheet!$B$20+3)*Worksheet!$E$10)/Worksheet!$E$5*Request!$E20,0),(IF(AND(Request!$S$12="Multi",Request!$R$12="PY"),ROUND(Request!$E20*((1+Request!$M20)^2)/Worksheet!$E$5*Worksheet!$E$5,0),(IF(AND(Request!$S$12&lt;&gt;"Multi",Request!$R$12="FY"),ROUND(((1+Request!$S$12)^(Worksheet!$B$20+1)*Worksheet!$E$9+(1+Request!$S$12)^(Worksheet!$B$20+2)*Worksheet!$E$10)/Worksheet!$E$5*Request!$E20,0),ROUND(Request!$E20*((1+Request!$S$12)^2)/Worksheet!$E$5*Worksheet!$E$5,0))))))),(IF(AND(Request!$S$12="Multi",Request!$R$12="FY"),ROUND(((1+Request!$M20)^(Worksheet!$B$20+2)*Worksheet!$E$9+(1+Request!$M20)^(Worksheet!$B$20+3)*Worksheet!$E$10)/Worksheet!$E$5*Request!$E20,0),(IF(AND(Request!$S$12="Multi",Request!$R$12="PY"),ROUND(Request!$E20*((1+Request!$M20)^2)/Worksheet!$E$5*Worksheet!$E$5,0),(IF(AND(Request!$S$12&lt;&gt;"Multi",Request!$R$12="FY"),ROUND(((1+Request!$S$12)^(Worksheet!$B$20+2)*Worksheet!$E$9+(1+Request!$S$12)^(Worksheet!$B$20+3)*Worksheet!$E$10)/Worksheet!$E$5*Request!$E20,0),ROUND(Request!$E20*((1+Request!$S$12)^2)/Worksheet!$E$5*Worksheet!$E$5,0)))))))))</f>
        <v/>
      </c>
      <c r="G332" s="218"/>
      <c r="H332" s="220" t="str">
        <f>IF(Worksheet!$F$5=0,"",IF($C$4=$D$4,(IF(AND(Request!$S$12="Multi",Request!$R$12="FY"),ROUND(((1+Request!$M20)^(Worksheet!$B$20+2)*Worksheet!$F$9+(1+Request!$M20)^(Worksheet!$B$20+3)*Worksheet!$F$10)/Worksheet!$F$5*Request!$E20,0),(IF(AND(Request!$S$12="Multi",Request!$R$12="PY"),ROUND(Request!$E20*((1+Request!$M20)^3)/Worksheet!$F$5*Worksheet!$F$5,0),(IF(AND(Request!$S$12&lt;&gt;"Multi",Request!$R$12="FY"),ROUND(((1+Request!$S$12)^(Worksheet!$B$20+2)*Worksheet!$F$9+(1+Request!$S$12)^(Worksheet!$B$20+3)*Worksheet!$F$10)/Worksheet!$F$5*Request!$E20,0),ROUND(Request!$E20*((1+Request!$S$12)^3)/Worksheet!$F$5*Worksheet!$F$5,0))))))),(IF(AND(Request!$S$12="Multi",Request!$R$12="FY"),ROUND(((1+Request!$M20)^(Worksheet!$B$20+3)*Worksheet!$F$9+(1+Request!$M20)^(Worksheet!$B$20+4)*Worksheet!$F$10)/Worksheet!$F$5*Request!$E20,0),(IF(AND(Request!$S$12="Multi",Request!$R$12="PY"),ROUND(Request!$E20*((1+Request!$M20)^3)/Worksheet!$F$5*Worksheet!$F$5,0),(IF(AND(Request!$S$12&lt;&gt;"Multi",Request!$R$12="FY"),ROUND(((1+Request!$S$12)^(Worksheet!$B$20+3)*Worksheet!$F$9+(1+Request!$S$12)^(Worksheet!$B$20+4)*Worksheet!$F$10)/Worksheet!$F$5*Request!$E20,0),ROUND(Request!$E20*((1+Request!$S$12)^3)/Worksheet!$F$5*Worksheet!$F$5,0)))))))))</f>
        <v/>
      </c>
      <c r="I332" s="218"/>
      <c r="J332" s="220" t="str">
        <f>IF(Worksheet!$G$5=0,"",IF($C$4=$D$4,(IF(AND(Request!$S$12="Multi",Request!$R$12="FY"),ROUND(((1+Request!$M20)^(Worksheet!$B$20+3)*Worksheet!$G$9+(1+Request!$M20)^(Worksheet!$B$20+4)*Worksheet!$G$10)/Worksheet!$G$5*Request!$E20,0),(IF(AND(Request!$S$12="Multi",Request!$R$12="PY"),ROUND(Request!$E20*((1+Request!$M20)^4)/Worksheet!$G$5*Worksheet!$G$5,0),(IF(AND(Request!$S$12&lt;&gt;"Multi",Request!$R$12="FY"),ROUND(((1+Request!$S$12)^(Worksheet!$B$20+3)*Worksheet!$G$9+(1+Request!$S$12)^(Worksheet!$B$20+4)*Worksheet!$G$10)/Worksheet!$G$5*Request!$E20,0),ROUND(Request!$E20*((1+Request!$S$12)^4)/Worksheet!$G$5*Worksheet!$G$5,0))))))),(IF(AND(Request!$S$12="Multi",Request!$R$12="FY"),ROUND(((1+Request!$M20)^(Worksheet!$B$20+4)*Worksheet!$G$9+(1+Request!$M20)^(Worksheet!$B$20+5)*Worksheet!$G$10)/Worksheet!$G$5*Request!$E20,0),(IF(AND(Request!$S$12="Multi",Request!$R$12="PY"),ROUND(Request!$E20*((1+Request!$M20)^4)/Worksheet!$G$5*Worksheet!$G$5,0),(IF(AND(Request!$S$12&lt;&gt;"Multi",Request!$R$12="FY"),ROUND(((1+Request!$S$12)^(Worksheet!$B$20+4)*Worksheet!$G$9+(1+Request!$S$12)^(Worksheet!$B$20+5)*Worksheet!$G$10)/Worksheet!$G$5*Request!$E20,0),ROUND(Request!$E20*((1+Request!$S$12)^4)/Worksheet!$G$5*Worksheet!$G$5,0)))))))))</f>
        <v/>
      </c>
      <c r="K332" s="218"/>
    </row>
    <row r="333" spans="1:11" x14ac:dyDescent="0.15">
      <c r="A333" s="81" t="e">
        <f>#REF!</f>
        <v>#REF!</v>
      </c>
      <c r="B333" s="220">
        <f>IF(Worksheet!$C$5=0,"",IF(AND(Request!$S$12="Multi",Request!$R$12="FY"),ROUND(((1+Request!$M21)^Worksheet!$B$20*Worksheet!$C$9+(1+Request!$M21)^(Worksheet!$B$20+1)*Worksheet!$C$10)/(Worksheet!$C$5)*Request!$E21,0),(IF(AND(Request!$S$12="Multi",Request!$R$12="PY"),ROUND(Request!$E21/(Worksheet!$C$5)*Worksheet!$C$5,0),(IF(AND(Request!$S$12&lt;&gt;"Multi",Request!$R$12="FY"),ROUND(((1+Request!$S$12)^Worksheet!$B$20*Worksheet!$C$9+(1+Request!$S$12)^(Worksheet!$B$20+1)*Worksheet!$C$10)/Worksheet!$C$5*Request!$E21,0),ROUND(Request!$E21/Worksheet!$C$5*Worksheet!$C$5,0)))))))</f>
        <v>0</v>
      </c>
      <c r="C333" s="218"/>
      <c r="D333" s="220" t="str">
        <f>IF(Worksheet!$D$5=0,"",IF($C$4=$D$4,(IF(AND(Request!$S$12="Multi",Request!$R$12="FY"),ROUND(((1+Request!$M21)^(Worksheet!$B$20)*Worksheet!$D$9+(1+Request!$M21)^(Worksheet!$B$20+1)*Worksheet!$D$10)/Worksheet!$D$5*Request!$E21,0),(IF(AND(Request!$S$12="Multi",Request!$R$12="PY"),ROUND(Request!$E21*(1+Request!$M21)/Worksheet!$D$5*Worksheet!$D$5,0),(IF(AND(Request!$S$12&lt;&gt;"Multi",Request!$R$12="FY"),ROUND(((1+Request!$S$12)^(Worksheet!$B$20)*Worksheet!$D$9+(1+Request!$S$12)^(Worksheet!$B$20+1)*Worksheet!$D$10)/Worksheet!$D$5*Request!$E21,0),ROUND(Request!$E21*(1+Request!$S$12)/Worksheet!$D$5*Worksheet!$D$5,0))))))),(IF(AND(Request!$S$12="Multi",Request!$R$12="FY"),ROUND(((1+Request!$M21)^(Worksheet!$B$20+1)*Worksheet!$D$9+(1+Request!$M21)^(Worksheet!$B$20+2)*Worksheet!$D$10)/Worksheet!$D$5*Request!$E21,0),(IF(AND(Request!$S$12="Multi",Request!$R$12="PY"),ROUND(Request!$E21*(1+Request!$M21)/Worksheet!$D$5*Worksheet!$D$5,0),(IF(AND(Request!$S$12&lt;&gt;"Multi",Request!$R$12="FY"),ROUND(((1+Request!$S$12)^(Worksheet!$B$20+1)*Worksheet!$D$9+(1+Request!$S$12)^(Worksheet!$B$20+2)*Worksheet!$D$10)/Worksheet!$D$5*Request!$E21,0),ROUND(Request!$E21*(1+Request!$S$12)/Worksheet!$D$5*Worksheet!$D$5,0)))))))))</f>
        <v/>
      </c>
      <c r="E333" s="218"/>
      <c r="F333" s="220" t="str">
        <f>IF(Worksheet!$E$5=0,"",IF($C$4=$D$4,(IF(AND(Request!$S$12="Multi",Request!$R$12="FY"),ROUND(((1+Request!$M21)^(Worksheet!$B$20+1)*Worksheet!$E$9+(1+Request!$M21)^(Worksheet!$B$20+3)*Worksheet!$E$10)/Worksheet!$E$5*Request!$E21,0),(IF(AND(Request!$S$12="Multi",Request!$R$12="PY"),ROUND(Request!$E21*((1+Request!$M21)^2)/Worksheet!$E$5*Worksheet!$E$5,0),(IF(AND(Request!$S$12&lt;&gt;"Multi",Request!$R$12="FY"),ROUND(((1+Request!$S$12)^(Worksheet!$B$20+1)*Worksheet!$E$9+(1+Request!$S$12)^(Worksheet!$B$20+2)*Worksheet!$E$10)/Worksheet!$E$5*Request!$E21,0),ROUND(Request!$E21*((1+Request!$S$12)^2)/Worksheet!$E$5*Worksheet!$E$5,0))))))),(IF(AND(Request!$S$12="Multi",Request!$R$12="FY"),ROUND(((1+Request!$M21)^(Worksheet!$B$20+2)*Worksheet!$E$9+(1+Request!$M21)^(Worksheet!$B$20+3)*Worksheet!$E$10)/Worksheet!$E$5*Request!$E21,0),(IF(AND(Request!$S$12="Multi",Request!$R$12="PY"),ROUND(Request!$E21*((1+Request!$M21)^2)/Worksheet!$E$5*Worksheet!$E$5,0),(IF(AND(Request!$S$12&lt;&gt;"Multi",Request!$R$12="FY"),ROUND(((1+Request!$S$12)^(Worksheet!$B$20+2)*Worksheet!$E$9+(1+Request!$S$12)^(Worksheet!$B$20+3)*Worksheet!$E$10)/Worksheet!$E$5*Request!$E21,0),ROUND(Request!$E21*((1+Request!$S$12)^2)/Worksheet!$E$5*Worksheet!$E$5,0)))))))))</f>
        <v/>
      </c>
      <c r="G333" s="218"/>
      <c r="H333" s="220" t="str">
        <f>IF(Worksheet!$F$5=0,"",IF($C$4=$D$4,(IF(AND(Request!$S$12="Multi",Request!$R$12="FY"),ROUND(((1+Request!$M21)^(Worksheet!$B$20+2)*Worksheet!$F$9+(1+Request!$M21)^(Worksheet!$B$20+3)*Worksheet!$F$10)/Worksheet!$F$5*Request!$E21,0),(IF(AND(Request!$S$12="Multi",Request!$R$12="PY"),ROUND(Request!$E21*((1+Request!$M21)^3)/Worksheet!$F$5*Worksheet!$F$5,0),(IF(AND(Request!$S$12&lt;&gt;"Multi",Request!$R$12="FY"),ROUND(((1+Request!$S$12)^(Worksheet!$B$20+2)*Worksheet!$F$9+(1+Request!$S$12)^(Worksheet!$B$20+3)*Worksheet!$F$10)/Worksheet!$F$5*Request!$E21,0),ROUND(Request!$E21*((1+Request!$S$12)^3)/Worksheet!$F$5*Worksheet!$F$5,0))))))),(IF(AND(Request!$S$12="Multi",Request!$R$12="FY"),ROUND(((1+Request!$M21)^(Worksheet!$B$20+3)*Worksheet!$F$9+(1+Request!$M21)^(Worksheet!$B$20+4)*Worksheet!$F$10)/Worksheet!$F$5*Request!$E21,0),(IF(AND(Request!$S$12="Multi",Request!$R$12="PY"),ROUND(Request!$E21*((1+Request!$M21)^3)/Worksheet!$F$5*Worksheet!$F$5,0),(IF(AND(Request!$S$12&lt;&gt;"Multi",Request!$R$12="FY"),ROUND(((1+Request!$S$12)^(Worksheet!$B$20+3)*Worksheet!$F$9+(1+Request!$S$12)^(Worksheet!$B$20+4)*Worksheet!$F$10)/Worksheet!$F$5*Request!$E21,0),ROUND(Request!$E21*((1+Request!$S$12)^3)/Worksheet!$F$5*Worksheet!$F$5,0)))))))))</f>
        <v/>
      </c>
      <c r="I333" s="218"/>
      <c r="J333" s="220" t="str">
        <f>IF(Worksheet!$G$5=0,"",IF($C$4=$D$4,(IF(AND(Request!$S$12="Multi",Request!$R$12="FY"),ROUND(((1+Request!$M21)^(Worksheet!$B$20+3)*Worksheet!$G$9+(1+Request!$M21)^(Worksheet!$B$20+4)*Worksheet!$G$10)/Worksheet!$G$5*Request!$E21,0),(IF(AND(Request!$S$12="Multi",Request!$R$12="PY"),ROUND(Request!$E21*((1+Request!$M21)^4)/Worksheet!$G$5*Worksheet!$G$5,0),(IF(AND(Request!$S$12&lt;&gt;"Multi",Request!$R$12="FY"),ROUND(((1+Request!$S$12)^(Worksheet!$B$20+3)*Worksheet!$G$9+(1+Request!$S$12)^(Worksheet!$B$20+4)*Worksheet!$G$10)/Worksheet!$G$5*Request!$E21,0),ROUND(Request!$E21*((1+Request!$S$12)^4)/Worksheet!$G$5*Worksheet!$G$5,0))))))),(IF(AND(Request!$S$12="Multi",Request!$R$12="FY"),ROUND(((1+Request!$M21)^(Worksheet!$B$20+4)*Worksheet!$G$9+(1+Request!$M21)^(Worksheet!$B$20+5)*Worksheet!$G$10)/Worksheet!$G$5*Request!$E21,0),(IF(AND(Request!$S$12="Multi",Request!$R$12="PY"),ROUND(Request!$E21*((1+Request!$M21)^4)/Worksheet!$G$5*Worksheet!$G$5,0),(IF(AND(Request!$S$12&lt;&gt;"Multi",Request!$R$12="FY"),ROUND(((1+Request!$S$12)^(Worksheet!$B$20+4)*Worksheet!$G$9+(1+Request!$S$12)^(Worksheet!$B$20+5)*Worksheet!$G$10)/Worksheet!$G$5*Request!$E21,0),ROUND(Request!$E21*((1+Request!$S$12)^4)/Worksheet!$G$5*Worksheet!$G$5,0)))))))))</f>
        <v/>
      </c>
      <c r="K333" s="218"/>
    </row>
    <row r="334" spans="1:11" x14ac:dyDescent="0.15">
      <c r="A334" s="81" t="e">
        <f>#REF!</f>
        <v>#REF!</v>
      </c>
      <c r="B334" s="220">
        <f>IF(Worksheet!$C$5=0,"",IF(AND(Request!$S$12="Multi",Request!$R$12="FY"),ROUND(((1+Request!$M22)^Worksheet!$B$20*Worksheet!$C$9+(1+Request!$M22)^(Worksheet!$B$20+1)*Worksheet!$C$10)/(Worksheet!$C$5)*Request!$E22,0),(IF(AND(Request!$S$12="Multi",Request!$R$12="PY"),ROUND(Request!$E22/(Worksheet!$C$5)*Worksheet!$C$5,0),(IF(AND(Request!$S$12&lt;&gt;"Multi",Request!$R$12="FY"),ROUND(((1+Request!$S$12)^Worksheet!$B$20*Worksheet!$C$9+(1+Request!$S$12)^(Worksheet!$B$20+1)*Worksheet!$C$10)/Worksheet!$C$5*Request!$E22,0),ROUND(Request!$E22/Worksheet!$C$5*Worksheet!$C$5,0)))))))</f>
        <v>0</v>
      </c>
      <c r="C334" s="218"/>
      <c r="D334" s="220" t="str">
        <f>IF(Worksheet!$D$5=0,"",IF($C$4=$D$4,(IF(AND(Request!$S$12="Multi",Request!$R$12="FY"),ROUND(((1+Request!$M22)^(Worksheet!$B$20)*Worksheet!$D$9+(1+Request!$M22)^(Worksheet!$B$20+1)*Worksheet!$D$10)/Worksheet!$D$5*Request!$E22,0),(IF(AND(Request!$S$12="Multi",Request!$R$12="PY"),ROUND(Request!$E22*(1+Request!$M22)/Worksheet!$D$5*Worksheet!$D$5,0),(IF(AND(Request!$S$12&lt;&gt;"Multi",Request!$R$12="FY"),ROUND(((1+Request!$S$12)^(Worksheet!$B$20)*Worksheet!$D$9+(1+Request!$S$12)^(Worksheet!$B$20+1)*Worksheet!$D$10)/Worksheet!$D$5*Request!$E22,0),ROUND(Request!$E22*(1+Request!$S$12)/Worksheet!$D$5*Worksheet!$D$5,0))))))),(IF(AND(Request!$S$12="Multi",Request!$R$12="FY"),ROUND(((1+Request!$M22)^(Worksheet!$B$20+1)*Worksheet!$D$9+(1+Request!$M22)^(Worksheet!$B$20+2)*Worksheet!$D$10)/Worksheet!$D$5*Request!$E22,0),(IF(AND(Request!$S$12="Multi",Request!$R$12="PY"),ROUND(Request!$E22*(1+Request!$M22)/Worksheet!$D$5*Worksheet!$D$5,0),(IF(AND(Request!$S$12&lt;&gt;"Multi",Request!$R$12="FY"),ROUND(((1+Request!$S$12)^(Worksheet!$B$20+1)*Worksheet!$D$9+(1+Request!$S$12)^(Worksheet!$B$20+2)*Worksheet!$D$10)/Worksheet!$D$5*Request!$E22,0),ROUND(Request!$E22*(1+Request!$S$12)/Worksheet!$D$5*Worksheet!$D$5,0)))))))))</f>
        <v/>
      </c>
      <c r="E334" s="218"/>
      <c r="F334" s="220" t="str">
        <f>IF(Worksheet!$E$5=0,"",IF($C$4=$D$4,(IF(AND(Request!$S$12="Multi",Request!$R$12="FY"),ROUND(((1+Request!$M22)^(Worksheet!$B$20+1)*Worksheet!$E$9+(1+Request!$M22)^(Worksheet!$B$20+3)*Worksheet!$E$10)/Worksheet!$E$5*Request!$E22,0),(IF(AND(Request!$S$12="Multi",Request!$R$12="PY"),ROUND(Request!$E22*((1+Request!$M22)^2)/Worksheet!$E$5*Worksheet!$E$5,0),(IF(AND(Request!$S$12&lt;&gt;"Multi",Request!$R$12="FY"),ROUND(((1+Request!$S$12)^(Worksheet!$B$20+1)*Worksheet!$E$9+(1+Request!$S$12)^(Worksheet!$B$20+2)*Worksheet!$E$10)/Worksheet!$E$5*Request!$E22,0),ROUND(Request!$E22*((1+Request!$S$12)^2)/Worksheet!$E$5*Worksheet!$E$5,0))))))),(IF(AND(Request!$S$12="Multi",Request!$R$12="FY"),ROUND(((1+Request!$M22)^(Worksheet!$B$20+2)*Worksheet!$E$9+(1+Request!$M22)^(Worksheet!$B$20+3)*Worksheet!$E$10)/Worksheet!$E$5*Request!$E22,0),(IF(AND(Request!$S$12="Multi",Request!$R$12="PY"),ROUND(Request!$E22*((1+Request!$M22)^2)/Worksheet!$E$5*Worksheet!$E$5,0),(IF(AND(Request!$S$12&lt;&gt;"Multi",Request!$R$12="FY"),ROUND(((1+Request!$S$12)^(Worksheet!$B$20+2)*Worksheet!$E$9+(1+Request!$S$12)^(Worksheet!$B$20+3)*Worksheet!$E$10)/Worksheet!$E$5*Request!$E22,0),ROUND(Request!$E22*((1+Request!$S$12)^2)/Worksheet!$E$5*Worksheet!$E$5,0)))))))))</f>
        <v/>
      </c>
      <c r="G334" s="218"/>
      <c r="H334" s="220" t="str">
        <f>IF(Worksheet!$F$5=0,"",IF($C$4=$D$4,(IF(AND(Request!$S$12="Multi",Request!$R$12="FY"),ROUND(((1+Request!$M22)^(Worksheet!$B$20+2)*Worksheet!$F$9+(1+Request!$M22)^(Worksheet!$B$20+3)*Worksheet!$F$10)/Worksheet!$F$5*Request!$E22,0),(IF(AND(Request!$S$12="Multi",Request!$R$12="PY"),ROUND(Request!$E22*((1+Request!$M22)^3)/Worksheet!$F$5*Worksheet!$F$5,0),(IF(AND(Request!$S$12&lt;&gt;"Multi",Request!$R$12="FY"),ROUND(((1+Request!$S$12)^(Worksheet!$B$20+2)*Worksheet!$F$9+(1+Request!$S$12)^(Worksheet!$B$20+3)*Worksheet!$F$10)/Worksheet!$F$5*Request!$E22,0),ROUND(Request!$E22*((1+Request!$S$12)^3)/Worksheet!$F$5*Worksheet!$F$5,0))))))),(IF(AND(Request!$S$12="Multi",Request!$R$12="FY"),ROUND(((1+Request!$M22)^(Worksheet!$B$20+3)*Worksheet!$F$9+(1+Request!$M22)^(Worksheet!$B$20+4)*Worksheet!$F$10)/Worksheet!$F$5*Request!$E22,0),(IF(AND(Request!$S$12="Multi",Request!$R$12="PY"),ROUND(Request!$E22*((1+Request!$M22)^3)/Worksheet!$F$5*Worksheet!$F$5,0),(IF(AND(Request!$S$12&lt;&gt;"Multi",Request!$R$12="FY"),ROUND(((1+Request!$S$12)^(Worksheet!$B$20+3)*Worksheet!$F$9+(1+Request!$S$12)^(Worksheet!$B$20+4)*Worksheet!$F$10)/Worksheet!$F$5*Request!$E22,0),ROUND(Request!$E22*((1+Request!$S$12)^3)/Worksheet!$F$5*Worksheet!$F$5,0)))))))))</f>
        <v/>
      </c>
      <c r="I334" s="218"/>
      <c r="J334" s="220" t="str">
        <f>IF(Worksheet!$G$5=0,"",IF($C$4=$D$4,(IF(AND(Request!$S$12="Multi",Request!$R$12="FY"),ROUND(((1+Request!$M22)^(Worksheet!$B$20+3)*Worksheet!$G$9+(1+Request!$M22)^(Worksheet!$B$20+4)*Worksheet!$G$10)/Worksheet!$G$5*Request!$E22,0),(IF(AND(Request!$S$12="Multi",Request!$R$12="PY"),ROUND(Request!$E22*((1+Request!$M22)^4)/Worksheet!$G$5*Worksheet!$G$5,0),(IF(AND(Request!$S$12&lt;&gt;"Multi",Request!$R$12="FY"),ROUND(((1+Request!$S$12)^(Worksheet!$B$20+3)*Worksheet!$G$9+(1+Request!$S$12)^(Worksheet!$B$20+4)*Worksheet!$G$10)/Worksheet!$G$5*Request!$E22,0),ROUND(Request!$E22*((1+Request!$S$12)^4)/Worksheet!$G$5*Worksheet!$G$5,0))))))),(IF(AND(Request!$S$12="Multi",Request!$R$12="FY"),ROUND(((1+Request!$M22)^(Worksheet!$B$20+4)*Worksheet!$G$9+(1+Request!$M22)^(Worksheet!$B$20+5)*Worksheet!$G$10)/Worksheet!$G$5*Request!$E22,0),(IF(AND(Request!$S$12="Multi",Request!$R$12="PY"),ROUND(Request!$E22*((1+Request!$M22)^4)/Worksheet!$G$5*Worksheet!$G$5,0),(IF(AND(Request!$S$12&lt;&gt;"Multi",Request!$R$12="FY"),ROUND(((1+Request!$S$12)^(Worksheet!$B$20+4)*Worksheet!$G$9+(1+Request!$S$12)^(Worksheet!$B$20+5)*Worksheet!$G$10)/Worksheet!$G$5*Request!$E22,0),ROUND(Request!$E22*((1+Request!$S$12)^4)/Worksheet!$G$5*Worksheet!$G$5,0)))))))))</f>
        <v/>
      </c>
      <c r="K334" s="218"/>
    </row>
    <row r="335" spans="1:11" x14ac:dyDescent="0.15">
      <c r="A335" s="81" t="e">
        <f>#REF!</f>
        <v>#REF!</v>
      </c>
      <c r="B335" s="220">
        <f>IF(Worksheet!$C$5=0,"",IF(AND(Request!$S$12="Multi",Request!$R$12="FY"),ROUND(((1+Request!$M23)^Worksheet!$B$20*Worksheet!$C$9+(1+Request!$M23)^(Worksheet!$B$20+1)*Worksheet!$C$10)/(Worksheet!$C$5)*Request!$E23,0),(IF(AND(Request!$S$12="Multi",Request!$R$12="PY"),ROUND(Request!$E23/(Worksheet!$C$5)*Worksheet!$C$5,0),(IF(AND(Request!$S$12&lt;&gt;"Multi",Request!$R$12="FY"),ROUND(((1+Request!$S$12)^Worksheet!$B$20*Worksheet!$C$9+(1+Request!$S$12)^(Worksheet!$B$20+1)*Worksheet!$C$10)/Worksheet!$C$5*Request!$E23,0),ROUND(Request!$E23/Worksheet!$C$5*Worksheet!$C$5,0)))))))</f>
        <v>0</v>
      </c>
      <c r="C335" s="218"/>
      <c r="D335" s="220" t="str">
        <f>IF(Worksheet!$D$5=0,"",IF($C$4=$D$4,(IF(AND(Request!$S$12="Multi",Request!$R$12="FY"),ROUND(((1+Request!$M23)^(Worksheet!$B$20)*Worksheet!$D$9+(1+Request!$M23)^(Worksheet!$B$20+1)*Worksheet!$D$10)/Worksheet!$D$5*Request!$E23,0),(IF(AND(Request!$S$12="Multi",Request!$R$12="PY"),ROUND(Request!$E23*(1+Request!$M23)/Worksheet!$D$5*Worksheet!$D$5,0),(IF(AND(Request!$S$12&lt;&gt;"Multi",Request!$R$12="FY"),ROUND(((1+Request!$S$12)^(Worksheet!$B$20)*Worksheet!$D$9+(1+Request!$S$12)^(Worksheet!$B$20+1)*Worksheet!$D$10)/Worksheet!$D$5*Request!$E23,0),ROUND(Request!$E23*(1+Request!$S$12)/Worksheet!$D$5*Worksheet!$D$5,0))))))),(IF(AND(Request!$S$12="Multi",Request!$R$12="FY"),ROUND(((1+Request!$M23)^(Worksheet!$B$20+1)*Worksheet!$D$9+(1+Request!$M23)^(Worksheet!$B$20+2)*Worksheet!$D$10)/Worksheet!$D$5*Request!$E23,0),(IF(AND(Request!$S$12="Multi",Request!$R$12="PY"),ROUND(Request!$E23*(1+Request!$M23)/Worksheet!$D$5*Worksheet!$D$5,0),(IF(AND(Request!$S$12&lt;&gt;"Multi",Request!$R$12="FY"),ROUND(((1+Request!$S$12)^(Worksheet!$B$20+1)*Worksheet!$D$9+(1+Request!$S$12)^(Worksheet!$B$20+2)*Worksheet!$D$10)/Worksheet!$D$5*Request!$E23,0),ROUND(Request!$E23*(1+Request!$S$12)/Worksheet!$D$5*Worksheet!$D$5,0)))))))))</f>
        <v/>
      </c>
      <c r="E335" s="218"/>
      <c r="F335" s="220" t="str">
        <f>IF(Worksheet!$E$5=0,"",IF($C$4=$D$4,(IF(AND(Request!$S$12="Multi",Request!$R$12="FY"),ROUND(((1+Request!$M23)^(Worksheet!$B$20+1)*Worksheet!$E$9+(1+Request!$M23)^(Worksheet!$B$20+3)*Worksheet!$E$10)/Worksheet!$E$5*Request!$E23,0),(IF(AND(Request!$S$12="Multi",Request!$R$12="PY"),ROUND(Request!$E23*((1+Request!$M23)^2)/Worksheet!$E$5*Worksheet!$E$5,0),(IF(AND(Request!$S$12&lt;&gt;"Multi",Request!$R$12="FY"),ROUND(((1+Request!$S$12)^(Worksheet!$B$20+1)*Worksheet!$E$9+(1+Request!$S$12)^(Worksheet!$B$20+2)*Worksheet!$E$10)/Worksheet!$E$5*Request!$E23,0),ROUND(Request!$E23*((1+Request!$S$12)^2)/Worksheet!$E$5*Worksheet!$E$5,0))))))),(IF(AND(Request!$S$12="Multi",Request!$R$12="FY"),ROUND(((1+Request!$M23)^(Worksheet!$B$20+2)*Worksheet!$E$9+(1+Request!$M23)^(Worksheet!$B$20+3)*Worksheet!$E$10)/Worksheet!$E$5*Request!$E23,0),(IF(AND(Request!$S$12="Multi",Request!$R$12="PY"),ROUND(Request!$E23*((1+Request!$M23)^2)/Worksheet!$E$5*Worksheet!$E$5,0),(IF(AND(Request!$S$12&lt;&gt;"Multi",Request!$R$12="FY"),ROUND(((1+Request!$S$12)^(Worksheet!$B$20+2)*Worksheet!$E$9+(1+Request!$S$12)^(Worksheet!$B$20+3)*Worksheet!$E$10)/Worksheet!$E$5*Request!$E23,0),ROUND(Request!$E23*((1+Request!$S$12)^2)/Worksheet!$E$5*Worksheet!$E$5,0)))))))))</f>
        <v/>
      </c>
      <c r="G335" s="218"/>
      <c r="H335" s="220" t="str">
        <f>IF(Worksheet!$F$5=0,"",IF($C$4=$D$4,(IF(AND(Request!$S$12="Multi",Request!$R$12="FY"),ROUND(((1+Request!$M23)^(Worksheet!$B$20+2)*Worksheet!$F$9+(1+Request!$M23)^(Worksheet!$B$20+3)*Worksheet!$F$10)/Worksheet!$F$5*Request!$E23,0),(IF(AND(Request!$S$12="Multi",Request!$R$12="PY"),ROUND(Request!$E23*((1+Request!$M23)^3)/Worksheet!$F$5*Worksheet!$F$5,0),(IF(AND(Request!$S$12&lt;&gt;"Multi",Request!$R$12="FY"),ROUND(((1+Request!$S$12)^(Worksheet!$B$20+2)*Worksheet!$F$9+(1+Request!$S$12)^(Worksheet!$B$20+3)*Worksheet!$F$10)/Worksheet!$F$5*Request!$E23,0),ROUND(Request!$E23*((1+Request!$S$12)^3)/Worksheet!$F$5*Worksheet!$F$5,0))))))),(IF(AND(Request!$S$12="Multi",Request!$R$12="FY"),ROUND(((1+Request!$M23)^(Worksheet!$B$20+3)*Worksheet!$F$9+(1+Request!$M23)^(Worksheet!$B$20+4)*Worksheet!$F$10)/Worksheet!$F$5*Request!$E23,0),(IF(AND(Request!$S$12="Multi",Request!$R$12="PY"),ROUND(Request!$E23*((1+Request!$M23)^3)/Worksheet!$F$5*Worksheet!$F$5,0),(IF(AND(Request!$S$12&lt;&gt;"Multi",Request!$R$12="FY"),ROUND(((1+Request!$S$12)^(Worksheet!$B$20+3)*Worksheet!$F$9+(1+Request!$S$12)^(Worksheet!$B$20+4)*Worksheet!$F$10)/Worksheet!$F$5*Request!$E23,0),ROUND(Request!$E23*((1+Request!$S$12)^3)/Worksheet!$F$5*Worksheet!$F$5,0)))))))))</f>
        <v/>
      </c>
      <c r="I335" s="218"/>
      <c r="J335" s="220" t="str">
        <f>IF(Worksheet!$G$5=0,"",IF($C$4=$D$4,(IF(AND(Request!$S$12="Multi",Request!$R$12="FY"),ROUND(((1+Request!$M23)^(Worksheet!$B$20+3)*Worksheet!$G$9+(1+Request!$M23)^(Worksheet!$B$20+4)*Worksheet!$G$10)/Worksheet!$G$5*Request!$E23,0),(IF(AND(Request!$S$12="Multi",Request!$R$12="PY"),ROUND(Request!$E23*((1+Request!$M23)^4)/Worksheet!$G$5*Worksheet!$G$5,0),(IF(AND(Request!$S$12&lt;&gt;"Multi",Request!$R$12="FY"),ROUND(((1+Request!$S$12)^(Worksheet!$B$20+3)*Worksheet!$G$9+(1+Request!$S$12)^(Worksheet!$B$20+4)*Worksheet!$G$10)/Worksheet!$G$5*Request!$E23,0),ROUND(Request!$E23*((1+Request!$S$12)^4)/Worksheet!$G$5*Worksheet!$G$5,0))))))),(IF(AND(Request!$S$12="Multi",Request!$R$12="FY"),ROUND(((1+Request!$M23)^(Worksheet!$B$20+4)*Worksheet!$G$9+(1+Request!$M23)^(Worksheet!$B$20+5)*Worksheet!$G$10)/Worksheet!$G$5*Request!$E23,0),(IF(AND(Request!$S$12="Multi",Request!$R$12="PY"),ROUND(Request!$E23*((1+Request!$M23)^4)/Worksheet!$G$5*Worksheet!$G$5,0),(IF(AND(Request!$S$12&lt;&gt;"Multi",Request!$R$12="FY"),ROUND(((1+Request!$S$12)^(Worksheet!$B$20+4)*Worksheet!$G$9+(1+Request!$S$12)^(Worksheet!$B$20+5)*Worksheet!$G$10)/Worksheet!$G$5*Request!$E23,0),ROUND(Request!$E23*((1+Request!$S$12)^4)/Worksheet!$G$5*Worksheet!$G$5,0)))))))))</f>
        <v/>
      </c>
      <c r="K335" s="218"/>
    </row>
    <row r="336" spans="1:11" x14ac:dyDescent="0.15">
      <c r="A336" s="81" t="e">
        <f>#REF!</f>
        <v>#REF!</v>
      </c>
      <c r="B336" s="220">
        <f>IF(Worksheet!$C$5=0,"",IF(AND(Request!$S$12="Multi",Request!$R$12="FY"),ROUND(((1+Request!$M24)^Worksheet!$B$20*Worksheet!$C$9+(1+Request!$M24)^(Worksheet!$B$20+1)*Worksheet!$C$10)/(Worksheet!$C$5)*Request!$E24,0),(IF(AND(Request!$S$12="Multi",Request!$R$12="PY"),ROUND(Request!$E24/(Worksheet!$C$5)*Worksheet!$C$5,0),(IF(AND(Request!$S$12&lt;&gt;"Multi",Request!$R$12="FY"),ROUND(((1+Request!$S$12)^Worksheet!$B$20*Worksheet!$C$9+(1+Request!$S$12)^(Worksheet!$B$20+1)*Worksheet!$C$10)/Worksheet!$C$5*Request!$E24,0),ROUND(Request!$E24/Worksheet!$C$5*Worksheet!$C$5,0)))))))</f>
        <v>0</v>
      </c>
      <c r="C336" s="218"/>
      <c r="D336" s="220" t="str">
        <f>IF(Worksheet!$D$5=0,"",IF($C$4=$D$4,(IF(AND(Request!$S$12="Multi",Request!$R$12="FY"),ROUND(((1+Request!$M24)^(Worksheet!$B$20)*Worksheet!$D$9+(1+Request!$M24)^(Worksheet!$B$20+1)*Worksheet!$D$10)/Worksheet!$D$5*Request!$E24,0),(IF(AND(Request!$S$12="Multi",Request!$R$12="PY"),ROUND(Request!$E24*(1+Request!$M24)/Worksheet!$D$5*Worksheet!$D$5,0),(IF(AND(Request!$S$12&lt;&gt;"Multi",Request!$R$12="FY"),ROUND(((1+Request!$S$12)^(Worksheet!$B$20)*Worksheet!$D$9+(1+Request!$S$12)^(Worksheet!$B$20+1)*Worksheet!$D$10)/Worksheet!$D$5*Request!$E24,0),ROUND(Request!$E24*(1+Request!$S$12)/Worksheet!$D$5*Worksheet!$D$5,0))))))),(IF(AND(Request!$S$12="Multi",Request!$R$12="FY"),ROUND(((1+Request!$M24)^(Worksheet!$B$20+1)*Worksheet!$D$9+(1+Request!$M24)^(Worksheet!$B$20+2)*Worksheet!$D$10)/Worksheet!$D$5*Request!$E24,0),(IF(AND(Request!$S$12="Multi",Request!$R$12="PY"),ROUND(Request!$E24*(1+Request!$M24)/Worksheet!$D$5*Worksheet!$D$5,0),(IF(AND(Request!$S$12&lt;&gt;"Multi",Request!$R$12="FY"),ROUND(((1+Request!$S$12)^(Worksheet!$B$20+1)*Worksheet!$D$9+(1+Request!$S$12)^(Worksheet!$B$20+2)*Worksheet!$D$10)/Worksheet!$D$5*Request!$E24,0),ROUND(Request!$E24*(1+Request!$S$12)/Worksheet!$D$5*Worksheet!$D$5,0)))))))))</f>
        <v/>
      </c>
      <c r="E336" s="218"/>
      <c r="F336" s="220" t="str">
        <f>IF(Worksheet!$E$5=0,"",IF($C$4=$D$4,(IF(AND(Request!$S$12="Multi",Request!$R$12="FY"),ROUND(((1+Request!$M24)^(Worksheet!$B$20+1)*Worksheet!$E$9+(1+Request!$M24)^(Worksheet!$B$20+3)*Worksheet!$E$10)/Worksheet!$E$5*Request!$E24,0),(IF(AND(Request!$S$12="Multi",Request!$R$12="PY"),ROUND(Request!$E24*((1+Request!$M24)^2)/Worksheet!$E$5*Worksheet!$E$5,0),(IF(AND(Request!$S$12&lt;&gt;"Multi",Request!$R$12="FY"),ROUND(((1+Request!$S$12)^(Worksheet!$B$20+1)*Worksheet!$E$9+(1+Request!$S$12)^(Worksheet!$B$20+2)*Worksheet!$E$10)/Worksheet!$E$5*Request!$E24,0),ROUND(Request!$E24*((1+Request!$S$12)^2)/Worksheet!$E$5*Worksheet!$E$5,0))))))),(IF(AND(Request!$S$12="Multi",Request!$R$12="FY"),ROUND(((1+Request!$M24)^(Worksheet!$B$20+2)*Worksheet!$E$9+(1+Request!$M24)^(Worksheet!$B$20+3)*Worksheet!$E$10)/Worksheet!$E$5*Request!$E24,0),(IF(AND(Request!$S$12="Multi",Request!$R$12="PY"),ROUND(Request!$E24*((1+Request!$M24)^2)/Worksheet!$E$5*Worksheet!$E$5,0),(IF(AND(Request!$S$12&lt;&gt;"Multi",Request!$R$12="FY"),ROUND(((1+Request!$S$12)^(Worksheet!$B$20+2)*Worksheet!$E$9+(1+Request!$S$12)^(Worksheet!$B$20+3)*Worksheet!$E$10)/Worksheet!$E$5*Request!$E24,0),ROUND(Request!$E24*((1+Request!$S$12)^2)/Worksheet!$E$5*Worksheet!$E$5,0)))))))))</f>
        <v/>
      </c>
      <c r="G336" s="218"/>
      <c r="H336" s="220" t="str">
        <f>IF(Worksheet!$F$5=0,"",IF($C$4=$D$4,(IF(AND(Request!$S$12="Multi",Request!$R$12="FY"),ROUND(((1+Request!$M24)^(Worksheet!$B$20+2)*Worksheet!$F$9+(1+Request!$M24)^(Worksheet!$B$20+3)*Worksheet!$F$10)/Worksheet!$F$5*Request!$E24,0),(IF(AND(Request!$S$12="Multi",Request!$R$12="PY"),ROUND(Request!$E24*((1+Request!$M24)^3)/Worksheet!$F$5*Worksheet!$F$5,0),(IF(AND(Request!$S$12&lt;&gt;"Multi",Request!$R$12="FY"),ROUND(((1+Request!$S$12)^(Worksheet!$B$20+2)*Worksheet!$F$9+(1+Request!$S$12)^(Worksheet!$B$20+3)*Worksheet!$F$10)/Worksheet!$F$5*Request!$E24,0),ROUND(Request!$E24*((1+Request!$S$12)^3)/Worksheet!$F$5*Worksheet!$F$5,0))))))),(IF(AND(Request!$S$12="Multi",Request!$R$12="FY"),ROUND(((1+Request!$M24)^(Worksheet!$B$20+3)*Worksheet!$F$9+(1+Request!$M24)^(Worksheet!$B$20+4)*Worksheet!$F$10)/Worksheet!$F$5*Request!$E24,0),(IF(AND(Request!$S$12="Multi",Request!$R$12="PY"),ROUND(Request!$E24*((1+Request!$M24)^3)/Worksheet!$F$5*Worksheet!$F$5,0),(IF(AND(Request!$S$12&lt;&gt;"Multi",Request!$R$12="FY"),ROUND(((1+Request!$S$12)^(Worksheet!$B$20+3)*Worksheet!$F$9+(1+Request!$S$12)^(Worksheet!$B$20+4)*Worksheet!$F$10)/Worksheet!$F$5*Request!$E24,0),ROUND(Request!$E24*((1+Request!$S$12)^3)/Worksheet!$F$5*Worksheet!$F$5,0)))))))))</f>
        <v/>
      </c>
      <c r="I336" s="218"/>
      <c r="J336" s="220" t="str">
        <f>IF(Worksheet!$G$5=0,"",IF($C$4=$D$4,(IF(AND(Request!$S$12="Multi",Request!$R$12="FY"),ROUND(((1+Request!$M24)^(Worksheet!$B$20+3)*Worksheet!$G$9+(1+Request!$M24)^(Worksheet!$B$20+4)*Worksheet!$G$10)/Worksheet!$G$5*Request!$E24,0),(IF(AND(Request!$S$12="Multi",Request!$R$12="PY"),ROUND(Request!$E24*((1+Request!$M24)^4)/Worksheet!$G$5*Worksheet!$G$5,0),(IF(AND(Request!$S$12&lt;&gt;"Multi",Request!$R$12="FY"),ROUND(((1+Request!$S$12)^(Worksheet!$B$20+3)*Worksheet!$G$9+(1+Request!$S$12)^(Worksheet!$B$20+4)*Worksheet!$G$10)/Worksheet!$G$5*Request!$E24,0),ROUND(Request!$E24*((1+Request!$S$12)^4)/Worksheet!$G$5*Worksheet!$G$5,0))))))),(IF(AND(Request!$S$12="Multi",Request!$R$12="FY"),ROUND(((1+Request!$M24)^(Worksheet!$B$20+4)*Worksheet!$G$9+(1+Request!$M24)^(Worksheet!$B$20+5)*Worksheet!$G$10)/Worksheet!$G$5*Request!$E24,0),(IF(AND(Request!$S$12="Multi",Request!$R$12="PY"),ROUND(Request!$E24*((1+Request!$M24)^4)/Worksheet!$G$5*Worksheet!$G$5,0),(IF(AND(Request!$S$12&lt;&gt;"Multi",Request!$R$12="FY"),ROUND(((1+Request!$S$12)^(Worksheet!$B$20+4)*Worksheet!$G$9+(1+Request!$S$12)^(Worksheet!$B$20+5)*Worksheet!$G$10)/Worksheet!$G$5*Request!$E24,0),ROUND(Request!$E24*((1+Request!$S$12)^4)/Worksheet!$G$5*Worksheet!$G$5,0)))))))))</f>
        <v/>
      </c>
      <c r="K336" s="218"/>
    </row>
    <row r="337" spans="1:11" x14ac:dyDescent="0.15">
      <c r="A337" s="81" t="e">
        <f>#REF!</f>
        <v>#REF!</v>
      </c>
      <c r="B337" s="220">
        <f>IF(Worksheet!$C$5=0,"",IF(AND(Request!$S$12="Multi",Request!$R$12="FY"),ROUND(((1+Request!$M25)^Worksheet!$B$20*Worksheet!$C$9+(1+Request!$M25)^(Worksheet!$B$20+1)*Worksheet!$C$10)/(Worksheet!$C$5)*Request!$E25,0),(IF(AND(Request!$S$12="Multi",Request!$R$12="PY"),ROUND(Request!$E25/(Worksheet!$C$5)*Worksheet!$C$5,0),(IF(AND(Request!$S$12&lt;&gt;"Multi",Request!$R$12="FY"),ROUND(((1+Request!$S$12)^Worksheet!$B$20*Worksheet!$C$9+(1+Request!$S$12)^(Worksheet!$B$20+1)*Worksheet!$C$10)/Worksheet!$C$5*Request!$E25,0),ROUND(Request!$E25/Worksheet!$C$5*Worksheet!$C$5,0)))))))</f>
        <v>0</v>
      </c>
      <c r="C337" s="218"/>
      <c r="D337" s="220" t="str">
        <f>IF(Worksheet!$D$5=0,"",IF($C$4=$D$4,(IF(AND(Request!$S$12="Multi",Request!$R$12="FY"),ROUND(((1+Request!$M25)^(Worksheet!$B$20)*Worksheet!$D$9+(1+Request!$M25)^(Worksheet!$B$20+1)*Worksheet!$D$10)/Worksheet!$D$5*Request!$E25,0),(IF(AND(Request!$S$12="Multi",Request!$R$12="PY"),ROUND(Request!$E25*(1+Request!$M25)/Worksheet!$D$5*Worksheet!$D$5,0),(IF(AND(Request!$S$12&lt;&gt;"Multi",Request!$R$12="FY"),ROUND(((1+Request!$S$12)^(Worksheet!$B$20)*Worksheet!$D$9+(1+Request!$S$12)^(Worksheet!$B$20+1)*Worksheet!$D$10)/Worksheet!$D$5*Request!$E25,0),ROUND(Request!$E25*(1+Request!$S$12)/Worksheet!$D$5*Worksheet!$D$5,0))))))),(IF(AND(Request!$S$12="Multi",Request!$R$12="FY"),ROUND(((1+Request!$M25)^(Worksheet!$B$20+1)*Worksheet!$D$9+(1+Request!$M25)^(Worksheet!$B$20+2)*Worksheet!$D$10)/Worksheet!$D$5*Request!$E25,0),(IF(AND(Request!$S$12="Multi",Request!$R$12="PY"),ROUND(Request!$E25*(1+Request!$M25)/Worksheet!$D$5*Worksheet!$D$5,0),(IF(AND(Request!$S$12&lt;&gt;"Multi",Request!$R$12="FY"),ROUND(((1+Request!$S$12)^(Worksheet!$B$20+1)*Worksheet!$D$9+(1+Request!$S$12)^(Worksheet!$B$20+2)*Worksheet!$D$10)/Worksheet!$D$5*Request!$E25,0),ROUND(Request!$E25*(1+Request!$S$12)/Worksheet!$D$5*Worksheet!$D$5,0)))))))))</f>
        <v/>
      </c>
      <c r="E337" s="218"/>
      <c r="F337" s="220" t="str">
        <f>IF(Worksheet!$E$5=0,"",IF($C$4=$D$4,(IF(AND(Request!$S$12="Multi",Request!$R$12="FY"),ROUND(((1+Request!$M25)^(Worksheet!$B$20+1)*Worksheet!$E$9+(1+Request!$M25)^(Worksheet!$B$20+3)*Worksheet!$E$10)/Worksheet!$E$5*Request!$E25,0),(IF(AND(Request!$S$12="Multi",Request!$R$12="PY"),ROUND(Request!$E25*((1+Request!$M25)^2)/Worksheet!$E$5*Worksheet!$E$5,0),(IF(AND(Request!$S$12&lt;&gt;"Multi",Request!$R$12="FY"),ROUND(((1+Request!$S$12)^(Worksheet!$B$20+1)*Worksheet!$E$9+(1+Request!$S$12)^(Worksheet!$B$20+2)*Worksheet!$E$10)/Worksheet!$E$5*Request!$E25,0),ROUND(Request!$E25*((1+Request!$S$12)^2)/Worksheet!$E$5*Worksheet!$E$5,0))))))),(IF(AND(Request!$S$12="Multi",Request!$R$12="FY"),ROUND(((1+Request!$M25)^(Worksheet!$B$20+2)*Worksheet!$E$9+(1+Request!$M25)^(Worksheet!$B$20+3)*Worksheet!$E$10)/Worksheet!$E$5*Request!$E25,0),(IF(AND(Request!$S$12="Multi",Request!$R$12="PY"),ROUND(Request!$E25*((1+Request!$M25)^2)/Worksheet!$E$5*Worksheet!$E$5,0),(IF(AND(Request!$S$12&lt;&gt;"Multi",Request!$R$12="FY"),ROUND(((1+Request!$S$12)^(Worksheet!$B$20+2)*Worksheet!$E$9+(1+Request!$S$12)^(Worksheet!$B$20+3)*Worksheet!$E$10)/Worksheet!$E$5*Request!$E25,0),ROUND(Request!$E25*((1+Request!$S$12)^2)/Worksheet!$E$5*Worksheet!$E$5,0)))))))))</f>
        <v/>
      </c>
      <c r="G337" s="218"/>
      <c r="H337" s="220" t="str">
        <f>IF(Worksheet!$F$5=0,"",IF($C$4=$D$4,(IF(AND(Request!$S$12="Multi",Request!$R$12="FY"),ROUND(((1+Request!$M25)^(Worksheet!$B$20+2)*Worksheet!$F$9+(1+Request!$M25)^(Worksheet!$B$20+3)*Worksheet!$F$10)/Worksheet!$F$5*Request!$E25,0),(IF(AND(Request!$S$12="Multi",Request!$R$12="PY"),ROUND(Request!$E25*((1+Request!$M25)^3)/Worksheet!$F$5*Worksheet!$F$5,0),(IF(AND(Request!$S$12&lt;&gt;"Multi",Request!$R$12="FY"),ROUND(((1+Request!$S$12)^(Worksheet!$B$20+2)*Worksheet!$F$9+(1+Request!$S$12)^(Worksheet!$B$20+3)*Worksheet!$F$10)/Worksheet!$F$5*Request!$E25,0),ROUND(Request!$E25*((1+Request!$S$12)^3)/Worksheet!$F$5*Worksheet!$F$5,0))))))),(IF(AND(Request!$S$12="Multi",Request!$R$12="FY"),ROUND(((1+Request!$M25)^(Worksheet!$B$20+3)*Worksheet!$F$9+(1+Request!$M25)^(Worksheet!$B$20+4)*Worksheet!$F$10)/Worksheet!$F$5*Request!$E25,0),(IF(AND(Request!$S$12="Multi",Request!$R$12="PY"),ROUND(Request!$E25*((1+Request!$M25)^3)/Worksheet!$F$5*Worksheet!$F$5,0),(IF(AND(Request!$S$12&lt;&gt;"Multi",Request!$R$12="FY"),ROUND(((1+Request!$S$12)^(Worksheet!$B$20+3)*Worksheet!$F$9+(1+Request!$S$12)^(Worksheet!$B$20+4)*Worksheet!$F$10)/Worksheet!$F$5*Request!$E25,0),ROUND(Request!$E25*((1+Request!$S$12)^3)/Worksheet!$F$5*Worksheet!$F$5,0)))))))))</f>
        <v/>
      </c>
      <c r="I337" s="218"/>
      <c r="J337" s="220" t="str">
        <f>IF(Worksheet!$G$5=0,"",IF($C$4=$D$4,(IF(AND(Request!$S$12="Multi",Request!$R$12="FY"),ROUND(((1+Request!$M25)^(Worksheet!$B$20+3)*Worksheet!$G$9+(1+Request!$M25)^(Worksheet!$B$20+4)*Worksheet!$G$10)/Worksheet!$G$5*Request!$E25,0),(IF(AND(Request!$S$12="Multi",Request!$R$12="PY"),ROUND(Request!$E25*((1+Request!$M25)^4)/Worksheet!$G$5*Worksheet!$G$5,0),(IF(AND(Request!$S$12&lt;&gt;"Multi",Request!$R$12="FY"),ROUND(((1+Request!$S$12)^(Worksheet!$B$20+3)*Worksheet!$G$9+(1+Request!$S$12)^(Worksheet!$B$20+4)*Worksheet!$G$10)/Worksheet!$G$5*Request!$E25,0),ROUND(Request!$E25*((1+Request!$S$12)^4)/Worksheet!$G$5*Worksheet!$G$5,0))))))),(IF(AND(Request!$S$12="Multi",Request!$R$12="FY"),ROUND(((1+Request!$M25)^(Worksheet!$B$20+4)*Worksheet!$G$9+(1+Request!$M25)^(Worksheet!$B$20+5)*Worksheet!$G$10)/Worksheet!$G$5*Request!$E25,0),(IF(AND(Request!$S$12="Multi",Request!$R$12="PY"),ROUND(Request!$E25*((1+Request!$M25)^4)/Worksheet!$G$5*Worksheet!$G$5,0),(IF(AND(Request!$S$12&lt;&gt;"Multi",Request!$R$12="FY"),ROUND(((1+Request!$S$12)^(Worksheet!$B$20+4)*Worksheet!$G$9+(1+Request!$S$12)^(Worksheet!$B$20+5)*Worksheet!$G$10)/Worksheet!$G$5*Request!$E25,0),ROUND(Request!$E25*((1+Request!$S$12)^4)/Worksheet!$G$5*Worksheet!$G$5,0)))))))))</f>
        <v/>
      </c>
      <c r="K337" s="218"/>
    </row>
    <row r="338" spans="1:11" x14ac:dyDescent="0.15">
      <c r="A338" s="81" t="e">
        <f>#REF!</f>
        <v>#REF!</v>
      </c>
      <c r="B338" s="220">
        <f>IF(Worksheet!$C$5=0,"",IF(AND(Request!$S$12="Multi",Request!$R$12="FY"),ROUND(((1+Request!$M26)^Worksheet!$B$20*Worksheet!$C$9+(1+Request!$M26)^(Worksheet!$B$20+1)*Worksheet!$C$10)/(Worksheet!$C$5)*Request!$E26,0),(IF(AND(Request!$S$12="Multi",Request!$R$12="PY"),ROUND(Request!$E26/(Worksheet!$C$5)*Worksheet!$C$5,0),(IF(AND(Request!$S$12&lt;&gt;"Multi",Request!$R$12="FY"),ROUND(((1+Request!$S$12)^Worksheet!$B$20*Worksheet!$C$9+(1+Request!$S$12)^(Worksheet!$B$20+1)*Worksheet!$C$10)/Worksheet!$C$5*Request!$E26,0),ROUND(Request!$E26/Worksheet!$C$5*Worksheet!$C$5,0)))))))</f>
        <v>0</v>
      </c>
      <c r="C338" s="218"/>
      <c r="D338" s="220" t="str">
        <f>IF(Worksheet!$D$5=0,"",IF($C$4=$D$4,(IF(AND(Request!$S$12="Multi",Request!$R$12="FY"),ROUND(((1+Request!$M26)^(Worksheet!$B$20)*Worksheet!$D$9+(1+Request!$M26)^(Worksheet!$B$20+1)*Worksheet!$D$10)/Worksheet!$D$5*Request!$E26,0),(IF(AND(Request!$S$12="Multi",Request!$R$12="PY"),ROUND(Request!$E26*(1+Request!$M26)/Worksheet!$D$5*Worksheet!$D$5,0),(IF(AND(Request!$S$12&lt;&gt;"Multi",Request!$R$12="FY"),ROUND(((1+Request!$S$12)^(Worksheet!$B$20)*Worksheet!$D$9+(1+Request!$S$12)^(Worksheet!$B$20+1)*Worksheet!$D$10)/Worksheet!$D$5*Request!$E26,0),ROUND(Request!$E26*(1+Request!$S$12)/Worksheet!$D$5*Worksheet!$D$5,0))))))),(IF(AND(Request!$S$12="Multi",Request!$R$12="FY"),ROUND(((1+Request!$M26)^(Worksheet!$B$20+1)*Worksheet!$D$9+(1+Request!$M26)^(Worksheet!$B$20+2)*Worksheet!$D$10)/Worksheet!$D$5*Request!$E26,0),(IF(AND(Request!$S$12="Multi",Request!$R$12="PY"),ROUND(Request!$E26*(1+Request!$M26)/Worksheet!$D$5*Worksheet!$D$5,0),(IF(AND(Request!$S$12&lt;&gt;"Multi",Request!$R$12="FY"),ROUND(((1+Request!$S$12)^(Worksheet!$B$20+1)*Worksheet!$D$9+(1+Request!$S$12)^(Worksheet!$B$20+2)*Worksheet!$D$10)/Worksheet!$D$5*Request!$E26,0),ROUND(Request!$E26*(1+Request!$S$12)/Worksheet!$D$5*Worksheet!$D$5,0)))))))))</f>
        <v/>
      </c>
      <c r="E338" s="218"/>
      <c r="F338" s="220" t="str">
        <f>IF(Worksheet!$E$5=0,"",IF($C$4=$D$4,(IF(AND(Request!$S$12="Multi",Request!$R$12="FY"),ROUND(((1+Request!$M26)^(Worksheet!$B$20+1)*Worksheet!$E$9+(1+Request!$M26)^(Worksheet!$B$20+3)*Worksheet!$E$10)/Worksheet!$E$5*Request!$E26,0),(IF(AND(Request!$S$12="Multi",Request!$R$12="PY"),ROUND(Request!$E26*((1+Request!$M26)^2)/Worksheet!$E$5*Worksheet!$E$5,0),(IF(AND(Request!$S$12&lt;&gt;"Multi",Request!$R$12="FY"),ROUND(((1+Request!$S$12)^(Worksheet!$B$20+1)*Worksheet!$E$9+(1+Request!$S$12)^(Worksheet!$B$20+2)*Worksheet!$E$10)/Worksheet!$E$5*Request!$E26,0),ROUND(Request!$E26*((1+Request!$S$12)^2)/Worksheet!$E$5*Worksheet!$E$5,0))))))),(IF(AND(Request!$S$12="Multi",Request!$R$12="FY"),ROUND(((1+Request!$M26)^(Worksheet!$B$20+2)*Worksheet!$E$9+(1+Request!$M26)^(Worksheet!$B$20+3)*Worksheet!$E$10)/Worksheet!$E$5*Request!$E26,0),(IF(AND(Request!$S$12="Multi",Request!$R$12="PY"),ROUND(Request!$E26*((1+Request!$M26)^2)/Worksheet!$E$5*Worksheet!$E$5,0),(IF(AND(Request!$S$12&lt;&gt;"Multi",Request!$R$12="FY"),ROUND(((1+Request!$S$12)^(Worksheet!$B$20+2)*Worksheet!$E$9+(1+Request!$S$12)^(Worksheet!$B$20+3)*Worksheet!$E$10)/Worksheet!$E$5*Request!$E26,0),ROUND(Request!$E26*((1+Request!$S$12)^2)/Worksheet!$E$5*Worksheet!$E$5,0)))))))))</f>
        <v/>
      </c>
      <c r="G338" s="218"/>
      <c r="H338" s="220" t="str">
        <f>IF(Worksheet!$F$5=0,"",IF($C$4=$D$4,(IF(AND(Request!$S$12="Multi",Request!$R$12="FY"),ROUND(((1+Request!$M26)^(Worksheet!$B$20+2)*Worksheet!$F$9+(1+Request!$M26)^(Worksheet!$B$20+3)*Worksheet!$F$10)/Worksheet!$F$5*Request!$E26,0),(IF(AND(Request!$S$12="Multi",Request!$R$12="PY"),ROUND(Request!$E26*((1+Request!$M26)^3)/Worksheet!$F$5*Worksheet!$F$5,0),(IF(AND(Request!$S$12&lt;&gt;"Multi",Request!$R$12="FY"),ROUND(((1+Request!$S$12)^(Worksheet!$B$20+2)*Worksheet!$F$9+(1+Request!$S$12)^(Worksheet!$B$20+3)*Worksheet!$F$10)/Worksheet!$F$5*Request!$E26,0),ROUND(Request!$E26*((1+Request!$S$12)^3)/Worksheet!$F$5*Worksheet!$F$5,0))))))),(IF(AND(Request!$S$12="Multi",Request!$R$12="FY"),ROUND(((1+Request!$M26)^(Worksheet!$B$20+3)*Worksheet!$F$9+(1+Request!$M26)^(Worksheet!$B$20+4)*Worksheet!$F$10)/Worksheet!$F$5*Request!$E26,0),(IF(AND(Request!$S$12="Multi",Request!$R$12="PY"),ROUND(Request!$E26*((1+Request!$M26)^3)/Worksheet!$F$5*Worksheet!$F$5,0),(IF(AND(Request!$S$12&lt;&gt;"Multi",Request!$R$12="FY"),ROUND(((1+Request!$S$12)^(Worksheet!$B$20+3)*Worksheet!$F$9+(1+Request!$S$12)^(Worksheet!$B$20+4)*Worksheet!$F$10)/Worksheet!$F$5*Request!$E26,0),ROUND(Request!$E26*((1+Request!$S$12)^3)/Worksheet!$F$5*Worksheet!$F$5,0)))))))))</f>
        <v/>
      </c>
      <c r="I338" s="218"/>
      <c r="J338" s="220" t="str">
        <f>IF(Worksheet!$G$5=0,"",IF($C$4=$D$4,(IF(AND(Request!$S$12="Multi",Request!$R$12="FY"),ROUND(((1+Request!$M26)^(Worksheet!$B$20+3)*Worksheet!$G$9+(1+Request!$M26)^(Worksheet!$B$20+4)*Worksheet!$G$10)/Worksheet!$G$5*Request!$E26,0),(IF(AND(Request!$S$12="Multi",Request!$R$12="PY"),ROUND(Request!$E26*((1+Request!$M26)^4)/Worksheet!$G$5*Worksheet!$G$5,0),(IF(AND(Request!$S$12&lt;&gt;"Multi",Request!$R$12="FY"),ROUND(((1+Request!$S$12)^(Worksheet!$B$20+3)*Worksheet!$G$9+(1+Request!$S$12)^(Worksheet!$B$20+4)*Worksheet!$G$10)/Worksheet!$G$5*Request!$E26,0),ROUND(Request!$E26*((1+Request!$S$12)^4)/Worksheet!$G$5*Worksheet!$G$5,0))))))),(IF(AND(Request!$S$12="Multi",Request!$R$12="FY"),ROUND(((1+Request!$M26)^(Worksheet!$B$20+4)*Worksheet!$G$9+(1+Request!$M26)^(Worksheet!$B$20+5)*Worksheet!$G$10)/Worksheet!$G$5*Request!$E26,0),(IF(AND(Request!$S$12="Multi",Request!$R$12="PY"),ROUND(Request!$E26*((1+Request!$M26)^4)/Worksheet!$G$5*Worksheet!$G$5,0),(IF(AND(Request!$S$12&lt;&gt;"Multi",Request!$R$12="FY"),ROUND(((1+Request!$S$12)^(Worksheet!$B$20+4)*Worksheet!$G$9+(1+Request!$S$12)^(Worksheet!$B$20+5)*Worksheet!$G$10)/Worksheet!$G$5*Request!$E26,0),ROUND(Request!$E26*((1+Request!$S$12)^4)/Worksheet!$G$5*Worksheet!$G$5,0)))))))))</f>
        <v/>
      </c>
      <c r="K338" s="218"/>
    </row>
    <row r="339" spans="1:11" x14ac:dyDescent="0.15">
      <c r="A339" s="81" t="e">
        <f>#REF!</f>
        <v>#REF!</v>
      </c>
      <c r="B339" s="220">
        <f>IF(Worksheet!$C$5=0,"",IF(AND(Request!$S$12="Multi",Request!$R$12="FY"),ROUND(((1+Request!$M27)^Worksheet!$B$20*Worksheet!$C$9+(1+Request!$M27)^(Worksheet!$B$20+1)*Worksheet!$C$10)/(Worksheet!$C$5)*Request!$E27,0),(IF(AND(Request!$S$12="Multi",Request!$R$12="PY"),ROUND(Request!$E27/(Worksheet!$C$5)*Worksheet!$C$5,0),(IF(AND(Request!$S$12&lt;&gt;"Multi",Request!$R$12="FY"),ROUND(((1+Request!$S$12)^Worksheet!$B$20*Worksheet!$C$9+(1+Request!$S$12)^(Worksheet!$B$20+1)*Worksheet!$C$10)/Worksheet!$C$5*Request!$E27,0),ROUND(Request!$E27/Worksheet!$C$5*Worksheet!$C$5,0)))))))</f>
        <v>0</v>
      </c>
      <c r="C339" s="218"/>
      <c r="D339" s="220" t="str">
        <f>IF(Worksheet!$D$5=0,"",IF($C$4=$D$4,(IF(AND(Request!$S$12="Multi",Request!$R$12="FY"),ROUND(((1+Request!$M27)^(Worksheet!$B$20)*Worksheet!$D$9+(1+Request!$M27)^(Worksheet!$B$20+1)*Worksheet!$D$10)/Worksheet!$D$5*Request!$E27,0),(IF(AND(Request!$S$12="Multi",Request!$R$12="PY"),ROUND(Request!$E27*(1+Request!$M27)/Worksheet!$D$5*Worksheet!$D$5,0),(IF(AND(Request!$S$12&lt;&gt;"Multi",Request!$R$12="FY"),ROUND(((1+Request!$S$12)^(Worksheet!$B$20)*Worksheet!$D$9+(1+Request!$S$12)^(Worksheet!$B$20+1)*Worksheet!$D$10)/Worksheet!$D$5*Request!$E27,0),ROUND(Request!$E27*(1+Request!$S$12)/Worksheet!$D$5*Worksheet!$D$5,0))))))),(IF(AND(Request!$S$12="Multi",Request!$R$12="FY"),ROUND(((1+Request!$M27)^(Worksheet!$B$20+1)*Worksheet!$D$9+(1+Request!$M27)^(Worksheet!$B$20+2)*Worksheet!$D$10)/Worksheet!$D$5*Request!$E27,0),(IF(AND(Request!$S$12="Multi",Request!$R$12="PY"),ROUND(Request!$E27*(1+Request!$M27)/Worksheet!$D$5*Worksheet!$D$5,0),(IF(AND(Request!$S$12&lt;&gt;"Multi",Request!$R$12="FY"),ROUND(((1+Request!$S$12)^(Worksheet!$B$20+1)*Worksheet!$D$9+(1+Request!$S$12)^(Worksheet!$B$20+2)*Worksheet!$D$10)/Worksheet!$D$5*Request!$E27,0),ROUND(Request!$E27*(1+Request!$S$12)/Worksheet!$D$5*Worksheet!$D$5,0)))))))))</f>
        <v/>
      </c>
      <c r="E339" s="218"/>
      <c r="F339" s="220" t="str">
        <f>IF(Worksheet!$E$5=0,"",IF($C$4=$D$4,(IF(AND(Request!$S$12="Multi",Request!$R$12="FY"),ROUND(((1+Request!$M27)^(Worksheet!$B$20+1)*Worksheet!$E$9+(1+Request!$M27)^(Worksheet!$B$20+3)*Worksheet!$E$10)/Worksheet!$E$5*Request!$E27,0),(IF(AND(Request!$S$12="Multi",Request!$R$12="PY"),ROUND(Request!$E27*((1+Request!$M27)^2)/Worksheet!$E$5*Worksheet!$E$5,0),(IF(AND(Request!$S$12&lt;&gt;"Multi",Request!$R$12="FY"),ROUND(((1+Request!$S$12)^(Worksheet!$B$20+1)*Worksheet!$E$9+(1+Request!$S$12)^(Worksheet!$B$20+2)*Worksheet!$E$10)/Worksheet!$E$5*Request!$E27,0),ROUND(Request!$E27*((1+Request!$S$12)^2)/Worksheet!$E$5*Worksheet!$E$5,0))))))),(IF(AND(Request!$S$12="Multi",Request!$R$12="FY"),ROUND(((1+Request!$M27)^(Worksheet!$B$20+2)*Worksheet!$E$9+(1+Request!$M27)^(Worksheet!$B$20+3)*Worksheet!$E$10)/Worksheet!$E$5*Request!$E27,0),(IF(AND(Request!$S$12="Multi",Request!$R$12="PY"),ROUND(Request!$E27*((1+Request!$M27)^2)/Worksheet!$E$5*Worksheet!$E$5,0),(IF(AND(Request!$S$12&lt;&gt;"Multi",Request!$R$12="FY"),ROUND(((1+Request!$S$12)^(Worksheet!$B$20+2)*Worksheet!$E$9+(1+Request!$S$12)^(Worksheet!$B$20+3)*Worksheet!$E$10)/Worksheet!$E$5*Request!$E27,0),ROUND(Request!$E27*((1+Request!$S$12)^2)/Worksheet!$E$5*Worksheet!$E$5,0)))))))))</f>
        <v/>
      </c>
      <c r="G339" s="218"/>
      <c r="H339" s="220" t="str">
        <f>IF(Worksheet!$F$5=0,"",IF($C$4=$D$4,(IF(AND(Request!$S$12="Multi",Request!$R$12="FY"),ROUND(((1+Request!$M27)^(Worksheet!$B$20+2)*Worksheet!$F$9+(1+Request!$M27)^(Worksheet!$B$20+3)*Worksheet!$F$10)/Worksheet!$F$5*Request!$E27,0),(IF(AND(Request!$S$12="Multi",Request!$R$12="PY"),ROUND(Request!$E27*((1+Request!$M27)^3)/Worksheet!$F$5*Worksheet!$F$5,0),(IF(AND(Request!$S$12&lt;&gt;"Multi",Request!$R$12="FY"),ROUND(((1+Request!$S$12)^(Worksheet!$B$20+2)*Worksheet!$F$9+(1+Request!$S$12)^(Worksheet!$B$20+3)*Worksheet!$F$10)/Worksheet!$F$5*Request!$E27,0),ROUND(Request!$E27*((1+Request!$S$12)^3)/Worksheet!$F$5*Worksheet!$F$5,0))))))),(IF(AND(Request!$S$12="Multi",Request!$R$12="FY"),ROUND(((1+Request!$M27)^(Worksheet!$B$20+3)*Worksheet!$F$9+(1+Request!$M27)^(Worksheet!$B$20+4)*Worksheet!$F$10)/Worksheet!$F$5*Request!$E27,0),(IF(AND(Request!$S$12="Multi",Request!$R$12="PY"),ROUND(Request!$E27*((1+Request!$M27)^3)/Worksheet!$F$5*Worksheet!$F$5,0),(IF(AND(Request!$S$12&lt;&gt;"Multi",Request!$R$12="FY"),ROUND(((1+Request!$S$12)^(Worksheet!$B$20+3)*Worksheet!$F$9+(1+Request!$S$12)^(Worksheet!$B$20+4)*Worksheet!$F$10)/Worksheet!$F$5*Request!$E27,0),ROUND(Request!$E27*((1+Request!$S$12)^3)/Worksheet!$F$5*Worksheet!$F$5,0)))))))))</f>
        <v/>
      </c>
      <c r="I339" s="218"/>
      <c r="J339" s="220" t="str">
        <f>IF(Worksheet!$G$5=0,"",IF($C$4=$D$4,(IF(AND(Request!$S$12="Multi",Request!$R$12="FY"),ROUND(((1+Request!$M27)^(Worksheet!$B$20+3)*Worksheet!$G$9+(1+Request!$M27)^(Worksheet!$B$20+4)*Worksheet!$G$10)/Worksheet!$G$5*Request!$E27,0),(IF(AND(Request!$S$12="Multi",Request!$R$12="PY"),ROUND(Request!$E27*((1+Request!$M27)^4)/Worksheet!$G$5*Worksheet!$G$5,0),(IF(AND(Request!$S$12&lt;&gt;"Multi",Request!$R$12="FY"),ROUND(((1+Request!$S$12)^(Worksheet!$B$20+3)*Worksheet!$G$9+(1+Request!$S$12)^(Worksheet!$B$20+4)*Worksheet!$G$10)/Worksheet!$G$5*Request!$E27,0),ROUND(Request!$E27*((1+Request!$S$12)^4)/Worksheet!$G$5*Worksheet!$G$5,0))))))),(IF(AND(Request!$S$12="Multi",Request!$R$12="FY"),ROUND(((1+Request!$M27)^(Worksheet!$B$20+4)*Worksheet!$G$9+(1+Request!$M27)^(Worksheet!$B$20+5)*Worksheet!$G$10)/Worksheet!$G$5*Request!$E27,0),(IF(AND(Request!$S$12="Multi",Request!$R$12="PY"),ROUND(Request!$E27*((1+Request!$M27)^4)/Worksheet!$G$5*Worksheet!$G$5,0),(IF(AND(Request!$S$12&lt;&gt;"Multi",Request!$R$12="FY"),ROUND(((1+Request!$S$12)^(Worksheet!$B$20+4)*Worksheet!$G$9+(1+Request!$S$12)^(Worksheet!$B$20+5)*Worksheet!$G$10)/Worksheet!$G$5*Request!$E27,0),ROUND(Request!$E27*((1+Request!$S$12)^4)/Worksheet!$G$5*Worksheet!$G$5,0)))))))))</f>
        <v/>
      </c>
      <c r="K339" s="218"/>
    </row>
    <row r="340" spans="1:11" x14ac:dyDescent="0.15">
      <c r="A340" s="81" t="e">
        <f>#REF!</f>
        <v>#REF!</v>
      </c>
      <c r="B340" s="220">
        <f>IF(Worksheet!$C$5=0,"",IF(AND(Request!$S$12="Multi",Request!$R$12="FY"),ROUND(((1+Request!$M28)^Worksheet!$B$20*Worksheet!$C$9+(1+Request!$M28)^(Worksheet!$B$20+1)*Worksheet!$C$10)/(Worksheet!$C$5)*Request!$E28,0),(IF(AND(Request!$S$12="Multi",Request!$R$12="PY"),ROUND(Request!$E28/(Worksheet!$C$5)*Worksheet!$C$5,0),(IF(AND(Request!$S$12&lt;&gt;"Multi",Request!$R$12="FY"),ROUND(((1+Request!$S$12)^Worksheet!$B$20*Worksheet!$C$9+(1+Request!$S$12)^(Worksheet!$B$20+1)*Worksheet!$C$10)/Worksheet!$C$5*Request!$E28,0),ROUND(Request!$E28/Worksheet!$C$5*Worksheet!$C$5,0)))))))</f>
        <v>0</v>
      </c>
      <c r="C340" s="218"/>
      <c r="D340" s="220" t="str">
        <f>IF(Worksheet!$D$5=0,"",IF($C$4=$D$4,(IF(AND(Request!$S$12="Multi",Request!$R$12="FY"),ROUND(((1+Request!$M28)^(Worksheet!$B$20)*Worksheet!$D$9+(1+Request!$M28)^(Worksheet!$B$20+1)*Worksheet!$D$10)/Worksheet!$D$5*Request!$E28,0),(IF(AND(Request!$S$12="Multi",Request!$R$12="PY"),ROUND(Request!$E28*(1+Request!$M28)/Worksheet!$D$5*Worksheet!$D$5,0),(IF(AND(Request!$S$12&lt;&gt;"Multi",Request!$R$12="FY"),ROUND(((1+Request!$S$12)^(Worksheet!$B$20)*Worksheet!$D$9+(1+Request!$S$12)^(Worksheet!$B$20+1)*Worksheet!$D$10)/Worksheet!$D$5*Request!$E28,0),ROUND(Request!$E28*(1+Request!$S$12)/Worksheet!$D$5*Worksheet!$D$5,0))))))),(IF(AND(Request!$S$12="Multi",Request!$R$12="FY"),ROUND(((1+Request!$M28)^(Worksheet!$B$20+1)*Worksheet!$D$9+(1+Request!$M28)^(Worksheet!$B$20+2)*Worksheet!$D$10)/Worksheet!$D$5*Request!$E28,0),(IF(AND(Request!$S$12="Multi",Request!$R$12="PY"),ROUND(Request!$E28*(1+Request!$M28)/Worksheet!$D$5*Worksheet!$D$5,0),(IF(AND(Request!$S$12&lt;&gt;"Multi",Request!$R$12="FY"),ROUND(((1+Request!$S$12)^(Worksheet!$B$20+1)*Worksheet!$D$9+(1+Request!$S$12)^(Worksheet!$B$20+2)*Worksheet!$D$10)/Worksheet!$D$5*Request!$E28,0),ROUND(Request!$E28*(1+Request!$S$12)/Worksheet!$D$5*Worksheet!$D$5,0)))))))))</f>
        <v/>
      </c>
      <c r="E340" s="218"/>
      <c r="F340" s="220" t="str">
        <f>IF(Worksheet!$E$5=0,"",IF($C$4=$D$4,(IF(AND(Request!$S$12="Multi",Request!$R$12="FY"),ROUND(((1+Request!$M28)^(Worksheet!$B$20+1)*Worksheet!$E$9+(1+Request!$M28)^(Worksheet!$B$20+3)*Worksheet!$E$10)/Worksheet!$E$5*Request!$E28,0),(IF(AND(Request!$S$12="Multi",Request!$R$12="PY"),ROUND(Request!$E28*((1+Request!$M28)^2)/Worksheet!$E$5*Worksheet!$E$5,0),(IF(AND(Request!$S$12&lt;&gt;"Multi",Request!$R$12="FY"),ROUND(((1+Request!$S$12)^(Worksheet!$B$20+1)*Worksheet!$E$9+(1+Request!$S$12)^(Worksheet!$B$20+2)*Worksheet!$E$10)/Worksheet!$E$5*Request!$E28,0),ROUND(Request!$E28*((1+Request!$S$12)^2)/Worksheet!$E$5*Worksheet!$E$5,0))))))),(IF(AND(Request!$S$12="Multi",Request!$R$12="FY"),ROUND(((1+Request!$M28)^(Worksheet!$B$20+2)*Worksheet!$E$9+(1+Request!$M28)^(Worksheet!$B$20+3)*Worksheet!$E$10)/Worksheet!$E$5*Request!$E28,0),(IF(AND(Request!$S$12="Multi",Request!$R$12="PY"),ROUND(Request!$E28*((1+Request!$M28)^2)/Worksheet!$E$5*Worksheet!$E$5,0),(IF(AND(Request!$S$12&lt;&gt;"Multi",Request!$R$12="FY"),ROUND(((1+Request!$S$12)^(Worksheet!$B$20+2)*Worksheet!$E$9+(1+Request!$S$12)^(Worksheet!$B$20+3)*Worksheet!$E$10)/Worksheet!$E$5*Request!$E28,0),ROUND(Request!$E28*((1+Request!$S$12)^2)/Worksheet!$E$5*Worksheet!$E$5,0)))))))))</f>
        <v/>
      </c>
      <c r="G340" s="218"/>
      <c r="H340" s="220" t="str">
        <f>IF(Worksheet!$F$5=0,"",IF($C$4=$D$4,(IF(AND(Request!$S$12="Multi",Request!$R$12="FY"),ROUND(((1+Request!$M28)^(Worksheet!$B$20+2)*Worksheet!$F$9+(1+Request!$M28)^(Worksheet!$B$20+3)*Worksheet!$F$10)/Worksheet!$F$5*Request!$E28,0),(IF(AND(Request!$S$12="Multi",Request!$R$12="PY"),ROUND(Request!$E28*((1+Request!$M28)^3)/Worksheet!$F$5*Worksheet!$F$5,0),(IF(AND(Request!$S$12&lt;&gt;"Multi",Request!$R$12="FY"),ROUND(((1+Request!$S$12)^(Worksheet!$B$20+2)*Worksheet!$F$9+(1+Request!$S$12)^(Worksheet!$B$20+3)*Worksheet!$F$10)/Worksheet!$F$5*Request!$E28,0),ROUND(Request!$E28*((1+Request!$S$12)^3)/Worksheet!$F$5*Worksheet!$F$5,0))))))),(IF(AND(Request!$S$12="Multi",Request!$R$12="FY"),ROUND(((1+Request!$M28)^(Worksheet!$B$20+3)*Worksheet!$F$9+(1+Request!$M28)^(Worksheet!$B$20+4)*Worksheet!$F$10)/Worksheet!$F$5*Request!$E28,0),(IF(AND(Request!$S$12="Multi",Request!$R$12="PY"),ROUND(Request!$E28*((1+Request!$M28)^3)/Worksheet!$F$5*Worksheet!$F$5,0),(IF(AND(Request!$S$12&lt;&gt;"Multi",Request!$R$12="FY"),ROUND(((1+Request!$S$12)^(Worksheet!$B$20+3)*Worksheet!$F$9+(1+Request!$S$12)^(Worksheet!$B$20+4)*Worksheet!$F$10)/Worksheet!$F$5*Request!$E28,0),ROUND(Request!$E28*((1+Request!$S$12)^3)/Worksheet!$F$5*Worksheet!$F$5,0)))))))))</f>
        <v/>
      </c>
      <c r="I340" s="218"/>
      <c r="J340" s="220" t="str">
        <f>IF(Worksheet!$G$5=0,"",IF($C$4=$D$4,(IF(AND(Request!$S$12="Multi",Request!$R$12="FY"),ROUND(((1+Request!$M28)^(Worksheet!$B$20+3)*Worksheet!$G$9+(1+Request!$M28)^(Worksheet!$B$20+4)*Worksheet!$G$10)/Worksheet!$G$5*Request!$E28,0),(IF(AND(Request!$S$12="Multi",Request!$R$12="PY"),ROUND(Request!$E28*((1+Request!$M28)^4)/Worksheet!$G$5*Worksheet!$G$5,0),(IF(AND(Request!$S$12&lt;&gt;"Multi",Request!$R$12="FY"),ROUND(((1+Request!$S$12)^(Worksheet!$B$20+3)*Worksheet!$G$9+(1+Request!$S$12)^(Worksheet!$B$20+4)*Worksheet!$G$10)/Worksheet!$G$5*Request!$E28,0),ROUND(Request!$E28*((1+Request!$S$12)^4)/Worksheet!$G$5*Worksheet!$G$5,0))))))),(IF(AND(Request!$S$12="Multi",Request!$R$12="FY"),ROUND(((1+Request!$M28)^(Worksheet!$B$20+4)*Worksheet!$G$9+(1+Request!$M28)^(Worksheet!$B$20+5)*Worksheet!$G$10)/Worksheet!$G$5*Request!$E28,0),(IF(AND(Request!$S$12="Multi",Request!$R$12="PY"),ROUND(Request!$E28*((1+Request!$M28)^4)/Worksheet!$G$5*Worksheet!$G$5,0),(IF(AND(Request!$S$12&lt;&gt;"Multi",Request!$R$12="FY"),ROUND(((1+Request!$S$12)^(Worksheet!$B$20+4)*Worksheet!$G$9+(1+Request!$S$12)^(Worksheet!$B$20+5)*Worksheet!$G$10)/Worksheet!$G$5*Request!$E28,0),ROUND(Request!$E28*((1+Request!$S$12)^4)/Worksheet!$G$5*Worksheet!$G$5,0)))))))))</f>
        <v/>
      </c>
      <c r="K340" s="218"/>
    </row>
    <row r="341" spans="1:11" x14ac:dyDescent="0.15">
      <c r="A341" s="81" t="e">
        <f>#REF!</f>
        <v>#REF!</v>
      </c>
      <c r="B341" s="220">
        <f>IF(Worksheet!$C$5=0,"",IF(AND(Request!$S$12="Multi",Request!$R$12="FY"),ROUND(((1+Request!$M29)^Worksheet!$B$20*Worksheet!$C$9+(1+Request!$M29)^(Worksheet!$B$20+1)*Worksheet!$C$10)/(Worksheet!$C$5)*Request!$E29,0),(IF(AND(Request!$S$12="Multi",Request!$R$12="PY"),ROUND(Request!$E29/(Worksheet!$C$5)*Worksheet!$C$5,0),(IF(AND(Request!$S$12&lt;&gt;"Multi",Request!$R$12="FY"),ROUND(((1+Request!$S$12)^Worksheet!$B$20*Worksheet!$C$9+(1+Request!$S$12)^(Worksheet!$B$20+1)*Worksheet!$C$10)/Worksheet!$C$5*Request!$E29,0),ROUND(Request!$E29/Worksheet!$C$5*Worksheet!$C$5,0)))))))</f>
        <v>0</v>
      </c>
      <c r="C341" s="218"/>
      <c r="D341" s="220" t="str">
        <f>IF(Worksheet!$D$5=0,"",IF($C$4=$D$4,(IF(AND(Request!$S$12="Multi",Request!$R$12="FY"),ROUND(((1+Request!$M29)^(Worksheet!$B$20)*Worksheet!$D$9+(1+Request!$M29)^(Worksheet!$B$20+1)*Worksheet!$D$10)/Worksheet!$D$5*Request!$E29,0),(IF(AND(Request!$S$12="Multi",Request!$R$12="PY"),ROUND(Request!$E29*(1+Request!$M29)/Worksheet!$D$5*Worksheet!$D$5,0),(IF(AND(Request!$S$12&lt;&gt;"Multi",Request!$R$12="FY"),ROUND(((1+Request!$S$12)^(Worksheet!$B$20)*Worksheet!$D$9+(1+Request!$S$12)^(Worksheet!$B$20+1)*Worksheet!$D$10)/Worksheet!$D$5*Request!$E29,0),ROUND(Request!$E29*(1+Request!$S$12)/Worksheet!$D$5*Worksheet!$D$5,0))))))),(IF(AND(Request!$S$12="Multi",Request!$R$12="FY"),ROUND(((1+Request!$M29)^(Worksheet!$B$20+1)*Worksheet!$D$9+(1+Request!$M29)^(Worksheet!$B$20+2)*Worksheet!$D$10)/Worksheet!$D$5*Request!$E29,0),(IF(AND(Request!$S$12="Multi",Request!$R$12="PY"),ROUND(Request!$E29*(1+Request!$M29)/Worksheet!$D$5*Worksheet!$D$5,0),(IF(AND(Request!$S$12&lt;&gt;"Multi",Request!$R$12="FY"),ROUND(((1+Request!$S$12)^(Worksheet!$B$20+1)*Worksheet!$D$9+(1+Request!$S$12)^(Worksheet!$B$20+2)*Worksheet!$D$10)/Worksheet!$D$5*Request!$E29,0),ROUND(Request!$E29*(1+Request!$S$12)/Worksheet!$D$5*Worksheet!$D$5,0)))))))))</f>
        <v/>
      </c>
      <c r="E341" s="218"/>
      <c r="F341" s="220" t="str">
        <f>IF(Worksheet!$E$5=0,"",IF($C$4=$D$4,(IF(AND(Request!$S$12="Multi",Request!$R$12="FY"),ROUND(((1+Request!$M29)^(Worksheet!$B$20+1)*Worksheet!$E$9+(1+Request!$M29)^(Worksheet!$B$20+3)*Worksheet!$E$10)/Worksheet!$E$5*Request!$E29,0),(IF(AND(Request!$S$12="Multi",Request!$R$12="PY"),ROUND(Request!$E29*((1+Request!$M29)^2)/Worksheet!$E$5*Worksheet!$E$5,0),(IF(AND(Request!$S$12&lt;&gt;"Multi",Request!$R$12="FY"),ROUND(((1+Request!$S$12)^(Worksheet!$B$20+1)*Worksheet!$E$9+(1+Request!$S$12)^(Worksheet!$B$20+2)*Worksheet!$E$10)/Worksheet!$E$5*Request!$E29,0),ROUND(Request!$E29*((1+Request!$S$12)^2)/Worksheet!$E$5*Worksheet!$E$5,0))))))),(IF(AND(Request!$S$12="Multi",Request!$R$12="FY"),ROUND(((1+Request!$M29)^(Worksheet!$B$20+2)*Worksheet!$E$9+(1+Request!$M29)^(Worksheet!$B$20+3)*Worksheet!$E$10)/Worksheet!$E$5*Request!$E29,0),(IF(AND(Request!$S$12="Multi",Request!$R$12="PY"),ROUND(Request!$E29*((1+Request!$M29)^2)/Worksheet!$E$5*Worksheet!$E$5,0),(IF(AND(Request!$S$12&lt;&gt;"Multi",Request!$R$12="FY"),ROUND(((1+Request!$S$12)^(Worksheet!$B$20+2)*Worksheet!$E$9+(1+Request!$S$12)^(Worksheet!$B$20+3)*Worksheet!$E$10)/Worksheet!$E$5*Request!$E29,0),ROUND(Request!$E29*((1+Request!$S$12)^2)/Worksheet!$E$5*Worksheet!$E$5,0)))))))))</f>
        <v/>
      </c>
      <c r="G341" s="218"/>
      <c r="H341" s="220" t="str">
        <f>IF(Worksheet!$F$5=0,"",IF($C$4=$D$4,(IF(AND(Request!$S$12="Multi",Request!$R$12="FY"),ROUND(((1+Request!$M29)^(Worksheet!$B$20+2)*Worksheet!$F$9+(1+Request!$M29)^(Worksheet!$B$20+3)*Worksheet!$F$10)/Worksheet!$F$5*Request!$E29,0),(IF(AND(Request!$S$12="Multi",Request!$R$12="PY"),ROUND(Request!$E29*((1+Request!$M29)^3)/Worksheet!$F$5*Worksheet!$F$5,0),(IF(AND(Request!$S$12&lt;&gt;"Multi",Request!$R$12="FY"),ROUND(((1+Request!$S$12)^(Worksheet!$B$20+2)*Worksheet!$F$9+(1+Request!$S$12)^(Worksheet!$B$20+3)*Worksheet!$F$10)/Worksheet!$F$5*Request!$E29,0),ROUND(Request!$E29*((1+Request!$S$12)^3)/Worksheet!$F$5*Worksheet!$F$5,0))))))),(IF(AND(Request!$S$12="Multi",Request!$R$12="FY"),ROUND(((1+Request!$M29)^(Worksheet!$B$20+3)*Worksheet!$F$9+(1+Request!$M29)^(Worksheet!$B$20+4)*Worksheet!$F$10)/Worksheet!$F$5*Request!$E29,0),(IF(AND(Request!$S$12="Multi",Request!$R$12="PY"),ROUND(Request!$E29*((1+Request!$M29)^3)/Worksheet!$F$5*Worksheet!$F$5,0),(IF(AND(Request!$S$12&lt;&gt;"Multi",Request!$R$12="FY"),ROUND(((1+Request!$S$12)^(Worksheet!$B$20+3)*Worksheet!$F$9+(1+Request!$S$12)^(Worksheet!$B$20+4)*Worksheet!$F$10)/Worksheet!$F$5*Request!$E29,0),ROUND(Request!$E29*((1+Request!$S$12)^3)/Worksheet!$F$5*Worksheet!$F$5,0)))))))))</f>
        <v/>
      </c>
      <c r="I341" s="218"/>
      <c r="J341" s="220" t="str">
        <f>IF(Worksheet!$G$5=0,"",IF($C$4=$D$4,(IF(AND(Request!$S$12="Multi",Request!$R$12="FY"),ROUND(((1+Request!$M29)^(Worksheet!$B$20+3)*Worksheet!$G$9+(1+Request!$M29)^(Worksheet!$B$20+4)*Worksheet!$G$10)/Worksheet!$G$5*Request!$E29,0),(IF(AND(Request!$S$12="Multi",Request!$R$12="PY"),ROUND(Request!$E29*((1+Request!$M29)^4)/Worksheet!$G$5*Worksheet!$G$5,0),(IF(AND(Request!$S$12&lt;&gt;"Multi",Request!$R$12="FY"),ROUND(((1+Request!$S$12)^(Worksheet!$B$20+3)*Worksheet!$G$9+(1+Request!$S$12)^(Worksheet!$B$20+4)*Worksheet!$G$10)/Worksheet!$G$5*Request!$E29,0),ROUND(Request!$E29*((1+Request!$S$12)^4)/Worksheet!$G$5*Worksheet!$G$5,0))))))),(IF(AND(Request!$S$12="Multi",Request!$R$12="FY"),ROUND(((1+Request!$M29)^(Worksheet!$B$20+4)*Worksheet!$G$9+(1+Request!$M29)^(Worksheet!$B$20+5)*Worksheet!$G$10)/Worksheet!$G$5*Request!$E29,0),(IF(AND(Request!$S$12="Multi",Request!$R$12="PY"),ROUND(Request!$E29*((1+Request!$M29)^4)/Worksheet!$G$5*Worksheet!$G$5,0),(IF(AND(Request!$S$12&lt;&gt;"Multi",Request!$R$12="FY"),ROUND(((1+Request!$S$12)^(Worksheet!$B$20+4)*Worksheet!$G$9+(1+Request!$S$12)^(Worksheet!$B$20+5)*Worksheet!$G$10)/Worksheet!$G$5*Request!$E29,0),ROUND(Request!$E29*((1+Request!$S$12)^4)/Worksheet!$G$5*Worksheet!$G$5,0)))))))))</f>
        <v/>
      </c>
      <c r="K341" s="218"/>
    </row>
    <row r="342" spans="1:11" x14ac:dyDescent="0.15">
      <c r="A342" s="81" t="e">
        <f>#REF!</f>
        <v>#REF!</v>
      </c>
      <c r="B342" s="220">
        <f>IF(Worksheet!$C$5=0,"",IF(AND(Request!$S$12="Multi",Request!$R$12="FY"),ROUND(((1+Request!$M30)^Worksheet!$B$20*Worksheet!$C$9+(1+Request!$M30)^(Worksheet!$B$20+1)*Worksheet!$C$10)/(Worksheet!$C$5)*Request!$E30,0),(IF(AND(Request!$S$12="Multi",Request!$R$12="PY"),ROUND(Request!$E30/(Worksheet!$C$5)*Worksheet!$C$5,0),(IF(AND(Request!$S$12&lt;&gt;"Multi",Request!$R$12="FY"),ROUND(((1+Request!$S$12)^Worksheet!$B$20*Worksheet!$C$9+(1+Request!$S$12)^(Worksheet!$B$20+1)*Worksheet!$C$10)/Worksheet!$C$5*Request!$E30,0),ROUND(Request!$E30/Worksheet!$C$5*Worksheet!$C$5,0)))))))</f>
        <v>0</v>
      </c>
      <c r="C342" s="218"/>
      <c r="D342" s="220" t="str">
        <f>IF(Worksheet!$D$5=0,"",IF($C$4=$D$4,(IF(AND(Request!$S$12="Multi",Request!$R$12="FY"),ROUND(((1+Request!$M30)^(Worksheet!$B$20)*Worksheet!$D$9+(1+Request!$M30)^(Worksheet!$B$20+1)*Worksheet!$D$10)/Worksheet!$D$5*Request!$E30,0),(IF(AND(Request!$S$12="Multi",Request!$R$12="PY"),ROUND(Request!$E30*(1+Request!$M30)/Worksheet!$D$5*Worksheet!$D$5,0),(IF(AND(Request!$S$12&lt;&gt;"Multi",Request!$R$12="FY"),ROUND(((1+Request!$S$12)^(Worksheet!$B$20)*Worksheet!$D$9+(1+Request!$S$12)^(Worksheet!$B$20+1)*Worksheet!$D$10)/Worksheet!$D$5*Request!$E30,0),ROUND(Request!$E30*(1+Request!$S$12)/Worksheet!$D$5*Worksheet!$D$5,0))))))),(IF(AND(Request!$S$12="Multi",Request!$R$12="FY"),ROUND(((1+Request!$M30)^(Worksheet!$B$20+1)*Worksheet!$D$9+(1+Request!$M30)^(Worksheet!$B$20+2)*Worksheet!$D$10)/Worksheet!$D$5*Request!$E30,0),(IF(AND(Request!$S$12="Multi",Request!$R$12="PY"),ROUND(Request!$E30*(1+Request!$M30)/Worksheet!$D$5*Worksheet!$D$5,0),(IF(AND(Request!$S$12&lt;&gt;"Multi",Request!$R$12="FY"),ROUND(((1+Request!$S$12)^(Worksheet!$B$20+1)*Worksheet!$D$9+(1+Request!$S$12)^(Worksheet!$B$20+2)*Worksheet!$D$10)/Worksheet!$D$5*Request!$E30,0),ROUND(Request!$E30*(1+Request!$S$12)/Worksheet!$D$5*Worksheet!$D$5,0)))))))))</f>
        <v/>
      </c>
      <c r="E342" s="218"/>
      <c r="F342" s="220" t="str">
        <f>IF(Worksheet!$E$5=0,"",IF($C$4=$D$4,(IF(AND(Request!$S$12="Multi",Request!$R$12="FY"),ROUND(((1+Request!$M30)^(Worksheet!$B$20+1)*Worksheet!$E$9+(1+Request!$M30)^(Worksheet!$B$20+3)*Worksheet!$E$10)/Worksheet!$E$5*Request!$E30,0),(IF(AND(Request!$S$12="Multi",Request!$R$12="PY"),ROUND(Request!$E30*((1+Request!$M30)^2)/Worksheet!$E$5*Worksheet!$E$5,0),(IF(AND(Request!$S$12&lt;&gt;"Multi",Request!$R$12="FY"),ROUND(((1+Request!$S$12)^(Worksheet!$B$20+1)*Worksheet!$E$9+(1+Request!$S$12)^(Worksheet!$B$20+2)*Worksheet!$E$10)/Worksheet!$E$5*Request!$E30,0),ROUND(Request!$E30*((1+Request!$S$12)^2)/Worksheet!$E$5*Worksheet!$E$5,0))))))),(IF(AND(Request!$S$12="Multi",Request!$R$12="FY"),ROUND(((1+Request!$M30)^(Worksheet!$B$20+2)*Worksheet!$E$9+(1+Request!$M30)^(Worksheet!$B$20+3)*Worksheet!$E$10)/Worksheet!$E$5*Request!$E30,0),(IF(AND(Request!$S$12="Multi",Request!$R$12="PY"),ROUND(Request!$E30*((1+Request!$M30)^2)/Worksheet!$E$5*Worksheet!$E$5,0),(IF(AND(Request!$S$12&lt;&gt;"Multi",Request!$R$12="FY"),ROUND(((1+Request!$S$12)^(Worksheet!$B$20+2)*Worksheet!$E$9+(1+Request!$S$12)^(Worksheet!$B$20+3)*Worksheet!$E$10)/Worksheet!$E$5*Request!$E30,0),ROUND(Request!$E30*((1+Request!$S$12)^2)/Worksheet!$E$5*Worksheet!$E$5,0)))))))))</f>
        <v/>
      </c>
      <c r="G342" s="218"/>
      <c r="H342" s="220" t="str">
        <f>IF(Worksheet!$F$5=0,"",IF($C$4=$D$4,(IF(AND(Request!$S$12="Multi",Request!$R$12="FY"),ROUND(((1+Request!$M30)^(Worksheet!$B$20+2)*Worksheet!$F$9+(1+Request!$M30)^(Worksheet!$B$20+3)*Worksheet!$F$10)/Worksheet!$F$5*Request!$E30,0),(IF(AND(Request!$S$12="Multi",Request!$R$12="PY"),ROUND(Request!$E30*((1+Request!$M30)^3)/Worksheet!$F$5*Worksheet!$F$5,0),(IF(AND(Request!$S$12&lt;&gt;"Multi",Request!$R$12="FY"),ROUND(((1+Request!$S$12)^(Worksheet!$B$20+2)*Worksheet!$F$9+(1+Request!$S$12)^(Worksheet!$B$20+3)*Worksheet!$F$10)/Worksheet!$F$5*Request!$E30,0),ROUND(Request!$E30*((1+Request!$S$12)^3)/Worksheet!$F$5*Worksheet!$F$5,0))))))),(IF(AND(Request!$S$12="Multi",Request!$R$12="FY"),ROUND(((1+Request!$M30)^(Worksheet!$B$20+3)*Worksheet!$F$9+(1+Request!$M30)^(Worksheet!$B$20+4)*Worksheet!$F$10)/Worksheet!$F$5*Request!$E30,0),(IF(AND(Request!$S$12="Multi",Request!$R$12="PY"),ROUND(Request!$E30*((1+Request!$M30)^3)/Worksheet!$F$5*Worksheet!$F$5,0),(IF(AND(Request!$S$12&lt;&gt;"Multi",Request!$R$12="FY"),ROUND(((1+Request!$S$12)^(Worksheet!$B$20+3)*Worksheet!$F$9+(1+Request!$S$12)^(Worksheet!$B$20+4)*Worksheet!$F$10)/Worksheet!$F$5*Request!$E30,0),ROUND(Request!$E30*((1+Request!$S$12)^3)/Worksheet!$F$5*Worksheet!$F$5,0)))))))))</f>
        <v/>
      </c>
      <c r="I342" s="218"/>
      <c r="J342" s="220" t="str">
        <f>IF(Worksheet!$G$5=0,"",IF($C$4=$D$4,(IF(AND(Request!$S$12="Multi",Request!$R$12="FY"),ROUND(((1+Request!$M30)^(Worksheet!$B$20+3)*Worksheet!$G$9+(1+Request!$M30)^(Worksheet!$B$20+4)*Worksheet!$G$10)/Worksheet!$G$5*Request!$E30,0),(IF(AND(Request!$S$12="Multi",Request!$R$12="PY"),ROUND(Request!$E30*((1+Request!$M30)^4)/Worksheet!$G$5*Worksheet!$G$5,0),(IF(AND(Request!$S$12&lt;&gt;"Multi",Request!$R$12="FY"),ROUND(((1+Request!$S$12)^(Worksheet!$B$20+3)*Worksheet!$G$9+(1+Request!$S$12)^(Worksheet!$B$20+4)*Worksheet!$G$10)/Worksheet!$G$5*Request!$E30,0),ROUND(Request!$E30*((1+Request!$S$12)^4)/Worksheet!$G$5*Worksheet!$G$5,0))))))),(IF(AND(Request!$S$12="Multi",Request!$R$12="FY"),ROUND(((1+Request!$M30)^(Worksheet!$B$20+4)*Worksheet!$G$9+(1+Request!$M30)^(Worksheet!$B$20+5)*Worksheet!$G$10)/Worksheet!$G$5*Request!$E30,0),(IF(AND(Request!$S$12="Multi",Request!$R$12="PY"),ROUND(Request!$E30*((1+Request!$M30)^4)/Worksheet!$G$5*Worksheet!$G$5,0),(IF(AND(Request!$S$12&lt;&gt;"Multi",Request!$R$12="FY"),ROUND(((1+Request!$S$12)^(Worksheet!$B$20+4)*Worksheet!$G$9+(1+Request!$S$12)^(Worksheet!$B$20+5)*Worksheet!$G$10)/Worksheet!$G$5*Request!$E30,0),ROUND(Request!$E30*((1+Request!$S$12)^4)/Worksheet!$G$5*Worksheet!$G$5,0)))))))))</f>
        <v/>
      </c>
      <c r="K342" s="218"/>
    </row>
    <row r="343" spans="1:11" x14ac:dyDescent="0.15">
      <c r="A343" s="81" t="e">
        <f>#REF!</f>
        <v>#REF!</v>
      </c>
      <c r="B343" s="220">
        <f>IF(Worksheet!$C$5=0,"",IF(AND(Request!$S$12="Multi",Request!$R$12="FY"),ROUND(((1+Request!$M31)^Worksheet!$B$20*Worksheet!$C$9+(1+Request!$M31)^(Worksheet!$B$20+1)*Worksheet!$C$10)/(Worksheet!$C$5)*Request!$E31,0),(IF(AND(Request!$S$12="Multi",Request!$R$12="PY"),ROUND(Request!$E31/(Worksheet!$C$5)*Worksheet!$C$5,0),(IF(AND(Request!$S$12&lt;&gt;"Multi",Request!$R$12="FY"),ROUND(((1+Request!$S$12)^Worksheet!$B$20*Worksheet!$C$9+(1+Request!$S$12)^(Worksheet!$B$20+1)*Worksheet!$C$10)/Worksheet!$C$5*Request!$E31,0),ROUND(Request!$E31/Worksheet!$C$5*Worksheet!$C$5,0)))))))</f>
        <v>0</v>
      </c>
      <c r="C343" s="218"/>
      <c r="D343" s="220" t="str">
        <f>IF(Worksheet!$D$5=0,"",IF($C$4=$D$4,(IF(AND(Request!$S$12="Multi",Request!$R$12="FY"),ROUND(((1+Request!$M31)^(Worksheet!$B$20)*Worksheet!$D$9+(1+Request!$M31)^(Worksheet!$B$20+1)*Worksheet!$D$10)/Worksheet!$D$5*Request!$E31,0),(IF(AND(Request!$S$12="Multi",Request!$R$12="PY"),ROUND(Request!$E31*(1+Request!$M31)/Worksheet!$D$5*Worksheet!$D$5,0),(IF(AND(Request!$S$12&lt;&gt;"Multi",Request!$R$12="FY"),ROUND(((1+Request!$S$12)^(Worksheet!$B$20)*Worksheet!$D$9+(1+Request!$S$12)^(Worksheet!$B$20+1)*Worksheet!$D$10)/Worksheet!$D$5*Request!$E31,0),ROUND(Request!$E31*(1+Request!$S$12)/Worksheet!$D$5*Worksheet!$D$5,0))))))),(IF(AND(Request!$S$12="Multi",Request!$R$12="FY"),ROUND(((1+Request!$M31)^(Worksheet!$B$20+1)*Worksheet!$D$9+(1+Request!$M31)^(Worksheet!$B$20+2)*Worksheet!$D$10)/Worksheet!$D$5*Request!$E31,0),(IF(AND(Request!$S$12="Multi",Request!$R$12="PY"),ROUND(Request!$E31*(1+Request!$M31)/Worksheet!$D$5*Worksheet!$D$5,0),(IF(AND(Request!$S$12&lt;&gt;"Multi",Request!$R$12="FY"),ROUND(((1+Request!$S$12)^(Worksheet!$B$20+1)*Worksheet!$D$9+(1+Request!$S$12)^(Worksheet!$B$20+2)*Worksheet!$D$10)/Worksheet!$D$5*Request!$E31,0),ROUND(Request!$E31*(1+Request!$S$12)/Worksheet!$D$5*Worksheet!$D$5,0)))))))))</f>
        <v/>
      </c>
      <c r="E343" s="218"/>
      <c r="F343" s="220" t="str">
        <f>IF(Worksheet!$E$5=0,"",IF($C$4=$D$4,(IF(AND(Request!$S$12="Multi",Request!$R$12="FY"),ROUND(((1+Request!$M31)^(Worksheet!$B$20+1)*Worksheet!$E$9+(1+Request!$M31)^(Worksheet!$B$20+3)*Worksheet!$E$10)/Worksheet!$E$5*Request!$E31,0),(IF(AND(Request!$S$12="Multi",Request!$R$12="PY"),ROUND(Request!$E31*((1+Request!$M31)^2)/Worksheet!$E$5*Worksheet!$E$5,0),(IF(AND(Request!$S$12&lt;&gt;"Multi",Request!$R$12="FY"),ROUND(((1+Request!$S$12)^(Worksheet!$B$20+1)*Worksheet!$E$9+(1+Request!$S$12)^(Worksheet!$B$20+2)*Worksheet!$E$10)/Worksheet!$E$5*Request!$E31,0),ROUND(Request!$E31*((1+Request!$S$12)^2)/Worksheet!$E$5*Worksheet!$E$5,0))))))),(IF(AND(Request!$S$12="Multi",Request!$R$12="FY"),ROUND(((1+Request!$M31)^(Worksheet!$B$20+2)*Worksheet!$E$9+(1+Request!$M31)^(Worksheet!$B$20+3)*Worksheet!$E$10)/Worksheet!$E$5*Request!$E31,0),(IF(AND(Request!$S$12="Multi",Request!$R$12="PY"),ROUND(Request!$E31*((1+Request!$M31)^2)/Worksheet!$E$5*Worksheet!$E$5,0),(IF(AND(Request!$S$12&lt;&gt;"Multi",Request!$R$12="FY"),ROUND(((1+Request!$S$12)^(Worksheet!$B$20+2)*Worksheet!$E$9+(1+Request!$S$12)^(Worksheet!$B$20+3)*Worksheet!$E$10)/Worksheet!$E$5*Request!$E31,0),ROUND(Request!$E31*((1+Request!$S$12)^2)/Worksheet!$E$5*Worksheet!$E$5,0)))))))))</f>
        <v/>
      </c>
      <c r="G343" s="218"/>
      <c r="H343" s="220" t="str">
        <f>IF(Worksheet!$F$5=0,"",IF($C$4=$D$4,(IF(AND(Request!$S$12="Multi",Request!$R$12="FY"),ROUND(((1+Request!$M31)^(Worksheet!$B$20+2)*Worksheet!$F$9+(1+Request!$M31)^(Worksheet!$B$20+3)*Worksheet!$F$10)/Worksheet!$F$5*Request!$E31,0),(IF(AND(Request!$S$12="Multi",Request!$R$12="PY"),ROUND(Request!$E31*((1+Request!$M31)^3)/Worksheet!$F$5*Worksheet!$F$5,0),(IF(AND(Request!$S$12&lt;&gt;"Multi",Request!$R$12="FY"),ROUND(((1+Request!$S$12)^(Worksheet!$B$20+2)*Worksheet!$F$9+(1+Request!$S$12)^(Worksheet!$B$20+3)*Worksheet!$F$10)/Worksheet!$F$5*Request!$E31,0),ROUND(Request!$E31*((1+Request!$S$12)^3)/Worksheet!$F$5*Worksheet!$F$5,0))))))),(IF(AND(Request!$S$12="Multi",Request!$R$12="FY"),ROUND(((1+Request!$M31)^(Worksheet!$B$20+3)*Worksheet!$F$9+(1+Request!$M31)^(Worksheet!$B$20+4)*Worksheet!$F$10)/Worksheet!$F$5*Request!$E31,0),(IF(AND(Request!$S$12="Multi",Request!$R$12="PY"),ROUND(Request!$E31*((1+Request!$M31)^3)/Worksheet!$F$5*Worksheet!$F$5,0),(IF(AND(Request!$S$12&lt;&gt;"Multi",Request!$R$12="FY"),ROUND(((1+Request!$S$12)^(Worksheet!$B$20+3)*Worksheet!$F$9+(1+Request!$S$12)^(Worksheet!$B$20+4)*Worksheet!$F$10)/Worksheet!$F$5*Request!$E31,0),ROUND(Request!$E31*((1+Request!$S$12)^3)/Worksheet!$F$5*Worksheet!$F$5,0)))))))))</f>
        <v/>
      </c>
      <c r="I343" s="218"/>
      <c r="J343" s="220" t="str">
        <f>IF(Worksheet!$G$5=0,"",IF($C$4=$D$4,(IF(AND(Request!$S$12="Multi",Request!$R$12="FY"),ROUND(((1+Request!$M31)^(Worksheet!$B$20+3)*Worksheet!$G$9+(1+Request!$M31)^(Worksheet!$B$20+4)*Worksheet!$G$10)/Worksheet!$G$5*Request!$E31,0),(IF(AND(Request!$S$12="Multi",Request!$R$12="PY"),ROUND(Request!$E31*((1+Request!$M31)^4)/Worksheet!$G$5*Worksheet!$G$5,0),(IF(AND(Request!$S$12&lt;&gt;"Multi",Request!$R$12="FY"),ROUND(((1+Request!$S$12)^(Worksheet!$B$20+3)*Worksheet!$G$9+(1+Request!$S$12)^(Worksheet!$B$20+4)*Worksheet!$G$10)/Worksheet!$G$5*Request!$E31,0),ROUND(Request!$E31*((1+Request!$S$12)^4)/Worksheet!$G$5*Worksheet!$G$5,0))))))),(IF(AND(Request!$S$12="Multi",Request!$R$12="FY"),ROUND(((1+Request!$M31)^(Worksheet!$B$20+4)*Worksheet!$G$9+(1+Request!$M31)^(Worksheet!$B$20+5)*Worksheet!$G$10)/Worksheet!$G$5*Request!$E31,0),(IF(AND(Request!$S$12="Multi",Request!$R$12="PY"),ROUND(Request!$E31*((1+Request!$M31)^4)/Worksheet!$G$5*Worksheet!$G$5,0),(IF(AND(Request!$S$12&lt;&gt;"Multi",Request!$R$12="FY"),ROUND(((1+Request!$S$12)^(Worksheet!$B$20+4)*Worksheet!$G$9+(1+Request!$S$12)^(Worksheet!$B$20+5)*Worksheet!$G$10)/Worksheet!$G$5*Request!$E31,0),ROUND(Request!$E31*((1+Request!$S$12)^4)/Worksheet!$G$5*Worksheet!$G$5,0)))))))))</f>
        <v/>
      </c>
      <c r="K343" s="218"/>
    </row>
    <row r="344" spans="1:11" x14ac:dyDescent="0.15">
      <c r="A344" s="81" t="e">
        <f>#REF!</f>
        <v>#REF!</v>
      </c>
      <c r="B344" s="220">
        <f>IF(Worksheet!$C$5=0,"",IF(AND(Request!$S$12="Multi",Request!$R$12="FY"),ROUND(((1+Request!$M32)^Worksheet!$B$20*Worksheet!$C$9+(1+Request!$M32)^(Worksheet!$B$20+1)*Worksheet!$C$10)/(Worksheet!$C$5)*Request!$E32,0),(IF(AND(Request!$S$12="Multi",Request!$R$12="PY"),ROUND(Request!$E32/(Worksheet!$C$5)*Worksheet!$C$5,0),(IF(AND(Request!$S$12&lt;&gt;"Multi",Request!$R$12="FY"),ROUND(((1+Request!$S$12)^Worksheet!$B$20*Worksheet!$C$9+(1+Request!$S$12)^(Worksheet!$B$20+1)*Worksheet!$C$10)/Worksheet!$C$5*Request!$E32,0),ROUND(Request!$E32/Worksheet!$C$5*Worksheet!$C$5,0)))))))</f>
        <v>0</v>
      </c>
      <c r="C344" s="218"/>
      <c r="D344" s="220" t="str">
        <f>IF(Worksheet!$D$5=0,"",IF($C$4=$D$4,(IF(AND(Request!$S$12="Multi",Request!$R$12="FY"),ROUND(((1+Request!$M32)^(Worksheet!$B$20)*Worksheet!$D$9+(1+Request!$M32)^(Worksheet!$B$20+1)*Worksheet!$D$10)/Worksheet!$D$5*Request!$E32,0),(IF(AND(Request!$S$12="Multi",Request!$R$12="PY"),ROUND(Request!$E32*(1+Request!$M32)/Worksheet!$D$5*Worksheet!$D$5,0),(IF(AND(Request!$S$12&lt;&gt;"Multi",Request!$R$12="FY"),ROUND(((1+Request!$S$12)^(Worksheet!$B$20)*Worksheet!$D$9+(1+Request!$S$12)^(Worksheet!$B$20+1)*Worksheet!$D$10)/Worksheet!$D$5*Request!$E32,0),ROUND(Request!$E32*(1+Request!$S$12)/Worksheet!$D$5*Worksheet!$D$5,0))))))),(IF(AND(Request!$S$12="Multi",Request!$R$12="FY"),ROUND(((1+Request!$M32)^(Worksheet!$B$20+1)*Worksheet!$D$9+(1+Request!$M32)^(Worksheet!$B$20+2)*Worksheet!$D$10)/Worksheet!$D$5*Request!$E32,0),(IF(AND(Request!$S$12="Multi",Request!$R$12="PY"),ROUND(Request!$E32*(1+Request!$M32)/Worksheet!$D$5*Worksheet!$D$5,0),(IF(AND(Request!$S$12&lt;&gt;"Multi",Request!$R$12="FY"),ROUND(((1+Request!$S$12)^(Worksheet!$B$20+1)*Worksheet!$D$9+(1+Request!$S$12)^(Worksheet!$B$20+2)*Worksheet!$D$10)/Worksheet!$D$5*Request!$E32,0),ROUND(Request!$E32*(1+Request!$S$12)/Worksheet!$D$5*Worksheet!$D$5,0)))))))))</f>
        <v/>
      </c>
      <c r="E344" s="218"/>
      <c r="F344" s="220" t="str">
        <f>IF(Worksheet!$E$5=0,"",IF($C$4=$D$4,(IF(AND(Request!$S$12="Multi",Request!$R$12="FY"),ROUND(((1+Request!$M32)^(Worksheet!$B$20+1)*Worksheet!$E$9+(1+Request!$M32)^(Worksheet!$B$20+3)*Worksheet!$E$10)/Worksheet!$E$5*Request!$E32,0),(IF(AND(Request!$S$12="Multi",Request!$R$12="PY"),ROUND(Request!$E32*((1+Request!$M32)^2)/Worksheet!$E$5*Worksheet!$E$5,0),(IF(AND(Request!$S$12&lt;&gt;"Multi",Request!$R$12="FY"),ROUND(((1+Request!$S$12)^(Worksheet!$B$20+1)*Worksheet!$E$9+(1+Request!$S$12)^(Worksheet!$B$20+2)*Worksheet!$E$10)/Worksheet!$E$5*Request!$E32,0),ROUND(Request!$E32*((1+Request!$S$12)^2)/Worksheet!$E$5*Worksheet!$E$5,0))))))),(IF(AND(Request!$S$12="Multi",Request!$R$12="FY"),ROUND(((1+Request!$M32)^(Worksheet!$B$20+2)*Worksheet!$E$9+(1+Request!$M32)^(Worksheet!$B$20+3)*Worksheet!$E$10)/Worksheet!$E$5*Request!$E32,0),(IF(AND(Request!$S$12="Multi",Request!$R$12="PY"),ROUND(Request!$E32*((1+Request!$M32)^2)/Worksheet!$E$5*Worksheet!$E$5,0),(IF(AND(Request!$S$12&lt;&gt;"Multi",Request!$R$12="FY"),ROUND(((1+Request!$S$12)^(Worksheet!$B$20+2)*Worksheet!$E$9+(1+Request!$S$12)^(Worksheet!$B$20+3)*Worksheet!$E$10)/Worksheet!$E$5*Request!$E32,0),ROUND(Request!$E32*((1+Request!$S$12)^2)/Worksheet!$E$5*Worksheet!$E$5,0)))))))))</f>
        <v/>
      </c>
      <c r="G344" s="218"/>
      <c r="H344" s="220" t="str">
        <f>IF(Worksheet!$F$5=0,"",IF($C$4=$D$4,(IF(AND(Request!$S$12="Multi",Request!$R$12="FY"),ROUND(((1+Request!$M32)^(Worksheet!$B$20+2)*Worksheet!$F$9+(1+Request!$M32)^(Worksheet!$B$20+3)*Worksheet!$F$10)/Worksheet!$F$5*Request!$E32,0),(IF(AND(Request!$S$12="Multi",Request!$R$12="PY"),ROUND(Request!$E32*((1+Request!$M32)^3)/Worksheet!$F$5*Worksheet!$F$5,0),(IF(AND(Request!$S$12&lt;&gt;"Multi",Request!$R$12="FY"),ROUND(((1+Request!$S$12)^(Worksheet!$B$20+2)*Worksheet!$F$9+(1+Request!$S$12)^(Worksheet!$B$20+3)*Worksheet!$F$10)/Worksheet!$F$5*Request!$E32,0),ROUND(Request!$E32*((1+Request!$S$12)^3)/Worksheet!$F$5*Worksheet!$F$5,0))))))),(IF(AND(Request!$S$12="Multi",Request!$R$12="FY"),ROUND(((1+Request!$M32)^(Worksheet!$B$20+3)*Worksheet!$F$9+(1+Request!$M32)^(Worksheet!$B$20+4)*Worksheet!$F$10)/Worksheet!$F$5*Request!$E32,0),(IF(AND(Request!$S$12="Multi",Request!$R$12="PY"),ROUND(Request!$E32*((1+Request!$M32)^3)/Worksheet!$F$5*Worksheet!$F$5,0),(IF(AND(Request!$S$12&lt;&gt;"Multi",Request!$R$12="FY"),ROUND(((1+Request!$S$12)^(Worksheet!$B$20+3)*Worksheet!$F$9+(1+Request!$S$12)^(Worksheet!$B$20+4)*Worksheet!$F$10)/Worksheet!$F$5*Request!$E32,0),ROUND(Request!$E32*((1+Request!$S$12)^3)/Worksheet!$F$5*Worksheet!$F$5,0)))))))))</f>
        <v/>
      </c>
      <c r="I344" s="218"/>
      <c r="J344" s="220" t="str">
        <f>IF(Worksheet!$G$5=0,"",IF($C$4=$D$4,(IF(AND(Request!$S$12="Multi",Request!$R$12="FY"),ROUND(((1+Request!$M32)^(Worksheet!$B$20+3)*Worksheet!$G$9+(1+Request!$M32)^(Worksheet!$B$20+4)*Worksheet!$G$10)/Worksheet!$G$5*Request!$E32,0),(IF(AND(Request!$S$12="Multi",Request!$R$12="PY"),ROUND(Request!$E32*((1+Request!$M32)^4)/Worksheet!$G$5*Worksheet!$G$5,0),(IF(AND(Request!$S$12&lt;&gt;"Multi",Request!$R$12="FY"),ROUND(((1+Request!$S$12)^(Worksheet!$B$20+3)*Worksheet!$G$9+(1+Request!$S$12)^(Worksheet!$B$20+4)*Worksheet!$G$10)/Worksheet!$G$5*Request!$E32,0),ROUND(Request!$E32*((1+Request!$S$12)^4)/Worksheet!$G$5*Worksheet!$G$5,0))))))),(IF(AND(Request!$S$12="Multi",Request!$R$12="FY"),ROUND(((1+Request!$M32)^(Worksheet!$B$20+4)*Worksheet!$G$9+(1+Request!$M32)^(Worksheet!$B$20+5)*Worksheet!$G$10)/Worksheet!$G$5*Request!$E32,0),(IF(AND(Request!$S$12="Multi",Request!$R$12="PY"),ROUND(Request!$E32*((1+Request!$M32)^4)/Worksheet!$G$5*Worksheet!$G$5,0),(IF(AND(Request!$S$12&lt;&gt;"Multi",Request!$R$12="FY"),ROUND(((1+Request!$S$12)^(Worksheet!$B$20+4)*Worksheet!$G$9+(1+Request!$S$12)^(Worksheet!$B$20+5)*Worksheet!$G$10)/Worksheet!$G$5*Request!$E32,0),ROUND(Request!$E32*((1+Request!$S$12)^4)/Worksheet!$G$5*Worksheet!$G$5,0)))))))))</f>
        <v/>
      </c>
      <c r="K344" s="218"/>
    </row>
    <row r="345" spans="1:11" x14ac:dyDescent="0.15">
      <c r="A345" s="81" t="e">
        <f>#REF!</f>
        <v>#REF!</v>
      </c>
      <c r="B345" s="220">
        <f>IF(Worksheet!$C$5=0,"",IF(AND(Request!$S$12="Multi",Request!$R$12="FY"),ROUND(((1+Request!$M33)^Worksheet!$B$20*Worksheet!$C$9+(1+Request!$M33)^(Worksheet!$B$20+1)*Worksheet!$C$10)/(Worksheet!$C$5)*Request!$E33,0),(IF(AND(Request!$S$12="Multi",Request!$R$12="PY"),ROUND(Request!$E33/(Worksheet!$C$5)*Worksheet!$C$5,0),(IF(AND(Request!$S$12&lt;&gt;"Multi",Request!$R$12="FY"),ROUND(((1+Request!$S$12)^Worksheet!$B$20*Worksheet!$C$9+(1+Request!$S$12)^(Worksheet!$B$20+1)*Worksheet!$C$10)/Worksheet!$C$5*Request!$E33,0),ROUND(Request!$E33/Worksheet!$C$5*Worksheet!$C$5,0)))))))</f>
        <v>0</v>
      </c>
      <c r="C345" s="218"/>
      <c r="D345" s="220" t="str">
        <f>IF(Worksheet!$D$5=0,"",IF($C$4=$D$4,(IF(AND(Request!$S$12="Multi",Request!$R$12="FY"),ROUND(((1+Request!$M33)^(Worksheet!$B$20)*Worksheet!$D$9+(1+Request!$M33)^(Worksheet!$B$20+1)*Worksheet!$D$10)/Worksheet!$D$5*Request!$E33,0),(IF(AND(Request!$S$12="Multi",Request!$R$12="PY"),ROUND(Request!$E33*(1+Request!$M33)/Worksheet!$D$5*Worksheet!$D$5,0),(IF(AND(Request!$S$12&lt;&gt;"Multi",Request!$R$12="FY"),ROUND(((1+Request!$S$12)^(Worksheet!$B$20)*Worksheet!$D$9+(1+Request!$S$12)^(Worksheet!$B$20+1)*Worksheet!$D$10)/Worksheet!$D$5*Request!$E33,0),ROUND(Request!$E33*(1+Request!$S$12)/Worksheet!$D$5*Worksheet!$D$5,0))))))),(IF(AND(Request!$S$12="Multi",Request!$R$12="FY"),ROUND(((1+Request!$M33)^(Worksheet!$B$20+1)*Worksheet!$D$9+(1+Request!$M33)^(Worksheet!$B$20+2)*Worksheet!$D$10)/Worksheet!$D$5*Request!$E33,0),(IF(AND(Request!$S$12="Multi",Request!$R$12="PY"),ROUND(Request!$E33*(1+Request!$M33)/Worksheet!$D$5*Worksheet!$D$5,0),(IF(AND(Request!$S$12&lt;&gt;"Multi",Request!$R$12="FY"),ROUND(((1+Request!$S$12)^(Worksheet!$B$20+1)*Worksheet!$D$9+(1+Request!$S$12)^(Worksheet!$B$20+2)*Worksheet!$D$10)/Worksheet!$D$5*Request!$E33,0),ROUND(Request!$E33*(1+Request!$S$12)/Worksheet!$D$5*Worksheet!$D$5,0)))))))))</f>
        <v/>
      </c>
      <c r="E345" s="218"/>
      <c r="F345" s="220" t="str">
        <f>IF(Worksheet!$E$5=0,"",IF($C$4=$D$4,(IF(AND(Request!$S$12="Multi",Request!$R$12="FY"),ROUND(((1+Request!$M33)^(Worksheet!$B$20+1)*Worksheet!$E$9+(1+Request!$M33)^(Worksheet!$B$20+3)*Worksheet!$E$10)/Worksheet!$E$5*Request!$E33,0),(IF(AND(Request!$S$12="Multi",Request!$R$12="PY"),ROUND(Request!$E33*((1+Request!$M33)^2)/Worksheet!$E$5*Worksheet!$E$5,0),(IF(AND(Request!$S$12&lt;&gt;"Multi",Request!$R$12="FY"),ROUND(((1+Request!$S$12)^(Worksheet!$B$20+1)*Worksheet!$E$9+(1+Request!$S$12)^(Worksheet!$B$20+2)*Worksheet!$E$10)/Worksheet!$E$5*Request!$E33,0),ROUND(Request!$E33*((1+Request!$S$12)^2)/Worksheet!$E$5*Worksheet!$E$5,0))))))),(IF(AND(Request!$S$12="Multi",Request!$R$12="FY"),ROUND(((1+Request!$M33)^(Worksheet!$B$20+2)*Worksheet!$E$9+(1+Request!$M33)^(Worksheet!$B$20+3)*Worksheet!$E$10)/Worksheet!$E$5*Request!$E33,0),(IF(AND(Request!$S$12="Multi",Request!$R$12="PY"),ROUND(Request!$E33*((1+Request!$M33)^2)/Worksheet!$E$5*Worksheet!$E$5,0),(IF(AND(Request!$S$12&lt;&gt;"Multi",Request!$R$12="FY"),ROUND(((1+Request!$S$12)^(Worksheet!$B$20+2)*Worksheet!$E$9+(1+Request!$S$12)^(Worksheet!$B$20+3)*Worksheet!$E$10)/Worksheet!$E$5*Request!$E33,0),ROUND(Request!$E33*((1+Request!$S$12)^2)/Worksheet!$E$5*Worksheet!$E$5,0)))))))))</f>
        <v/>
      </c>
      <c r="G345" s="218"/>
      <c r="H345" s="220" t="str">
        <f>IF(Worksheet!$F$5=0,"",IF($C$4=$D$4,(IF(AND(Request!$S$12="Multi",Request!$R$12="FY"),ROUND(((1+Request!$M33)^(Worksheet!$B$20+2)*Worksheet!$F$9+(1+Request!$M33)^(Worksheet!$B$20+3)*Worksheet!$F$10)/Worksheet!$F$5*Request!$E33,0),(IF(AND(Request!$S$12="Multi",Request!$R$12="PY"),ROUND(Request!$E33*((1+Request!$M33)^3)/Worksheet!$F$5*Worksheet!$F$5,0),(IF(AND(Request!$S$12&lt;&gt;"Multi",Request!$R$12="FY"),ROUND(((1+Request!$S$12)^(Worksheet!$B$20+2)*Worksheet!$F$9+(1+Request!$S$12)^(Worksheet!$B$20+3)*Worksheet!$F$10)/Worksheet!$F$5*Request!$E33,0),ROUND(Request!$E33*((1+Request!$S$12)^3)/Worksheet!$F$5*Worksheet!$F$5,0))))))),(IF(AND(Request!$S$12="Multi",Request!$R$12="FY"),ROUND(((1+Request!$M33)^(Worksheet!$B$20+3)*Worksheet!$F$9+(1+Request!$M33)^(Worksheet!$B$20+4)*Worksheet!$F$10)/Worksheet!$F$5*Request!$E33,0),(IF(AND(Request!$S$12="Multi",Request!$R$12="PY"),ROUND(Request!$E33*((1+Request!$M33)^3)/Worksheet!$F$5*Worksheet!$F$5,0),(IF(AND(Request!$S$12&lt;&gt;"Multi",Request!$R$12="FY"),ROUND(((1+Request!$S$12)^(Worksheet!$B$20+3)*Worksheet!$F$9+(1+Request!$S$12)^(Worksheet!$B$20+4)*Worksheet!$F$10)/Worksheet!$F$5*Request!$E33,0),ROUND(Request!$E33*((1+Request!$S$12)^3)/Worksheet!$F$5*Worksheet!$F$5,0)))))))))</f>
        <v/>
      </c>
      <c r="I345" s="218"/>
      <c r="J345" s="220" t="str">
        <f>IF(Worksheet!$G$5=0,"",IF($C$4=$D$4,(IF(AND(Request!$S$12="Multi",Request!$R$12="FY"),ROUND(((1+Request!$M33)^(Worksheet!$B$20+3)*Worksheet!$G$9+(1+Request!$M33)^(Worksheet!$B$20+4)*Worksheet!$G$10)/Worksheet!$G$5*Request!$E33,0),(IF(AND(Request!$S$12="Multi",Request!$R$12="PY"),ROUND(Request!$E33*((1+Request!$M33)^4)/Worksheet!$G$5*Worksheet!$G$5,0),(IF(AND(Request!$S$12&lt;&gt;"Multi",Request!$R$12="FY"),ROUND(((1+Request!$S$12)^(Worksheet!$B$20+3)*Worksheet!$G$9+(1+Request!$S$12)^(Worksheet!$B$20+4)*Worksheet!$G$10)/Worksheet!$G$5*Request!$E33,0),ROUND(Request!$E33*((1+Request!$S$12)^4)/Worksheet!$G$5*Worksheet!$G$5,0))))))),(IF(AND(Request!$S$12="Multi",Request!$R$12="FY"),ROUND(((1+Request!$M33)^(Worksheet!$B$20+4)*Worksheet!$G$9+(1+Request!$M33)^(Worksheet!$B$20+5)*Worksheet!$G$10)/Worksheet!$G$5*Request!$E33,0),(IF(AND(Request!$S$12="Multi",Request!$R$12="PY"),ROUND(Request!$E33*((1+Request!$M33)^4)/Worksheet!$G$5*Worksheet!$G$5,0),(IF(AND(Request!$S$12&lt;&gt;"Multi",Request!$R$12="FY"),ROUND(((1+Request!$S$12)^(Worksheet!$B$20+4)*Worksheet!$G$9+(1+Request!$S$12)^(Worksheet!$B$20+5)*Worksheet!$G$10)/Worksheet!$G$5*Request!$E33,0),ROUND(Request!$E33*((1+Request!$S$12)^4)/Worksheet!$G$5*Worksheet!$G$5,0)))))))))</f>
        <v/>
      </c>
      <c r="K345" s="218"/>
    </row>
    <row r="346" spans="1:11" x14ac:dyDescent="0.15">
      <c r="A346" s="81" t="e">
        <f>#REF!</f>
        <v>#REF!</v>
      </c>
      <c r="B346" s="220">
        <f>IF(Worksheet!$C$5=0,"",IF(AND(Request!$S$12="Multi",Request!$R$12="FY"),ROUND(((1+Request!$M34)^Worksheet!$B$20*Worksheet!$C$9+(1+Request!$M34)^(Worksheet!$B$20+1)*Worksheet!$C$10)/(Worksheet!$C$5)*Request!$E34,0),(IF(AND(Request!$S$12="Multi",Request!$R$12="PY"),ROUND(Request!$E34/(Worksheet!$C$5)*Worksheet!$C$5,0),(IF(AND(Request!$S$12&lt;&gt;"Multi",Request!$R$12="FY"),ROUND(((1+Request!$S$12)^Worksheet!$B$20*Worksheet!$C$9+(1+Request!$S$12)^(Worksheet!$B$20+1)*Worksheet!$C$10)/Worksheet!$C$5*Request!$E34,0),ROUND(Request!$E34/Worksheet!$C$5*Worksheet!$C$5,0)))))))</f>
        <v>0</v>
      </c>
      <c r="C346" s="218"/>
      <c r="D346" s="220" t="str">
        <f>IF(Worksheet!$D$5=0,"",IF($C$4=$D$4,(IF(AND(Request!$S$12="Multi",Request!$R$12="FY"),ROUND(((1+Request!$M34)^(Worksheet!$B$20)*Worksheet!$D$9+(1+Request!$M34)^(Worksheet!$B$20+1)*Worksheet!$D$10)/Worksheet!$D$5*Request!$E34,0),(IF(AND(Request!$S$12="Multi",Request!$R$12="PY"),ROUND(Request!$E34*(1+Request!$M34)/Worksheet!$D$5*Worksheet!$D$5,0),(IF(AND(Request!$S$12&lt;&gt;"Multi",Request!$R$12="FY"),ROUND(((1+Request!$S$12)^(Worksheet!$B$20)*Worksheet!$D$9+(1+Request!$S$12)^(Worksheet!$B$20+1)*Worksheet!$D$10)/Worksheet!$D$5*Request!$E34,0),ROUND(Request!$E34*(1+Request!$S$12)/Worksheet!$D$5*Worksheet!$D$5,0))))))),(IF(AND(Request!$S$12="Multi",Request!$R$12="FY"),ROUND(((1+Request!$M34)^(Worksheet!$B$20+1)*Worksheet!$D$9+(1+Request!$M34)^(Worksheet!$B$20+2)*Worksheet!$D$10)/Worksheet!$D$5*Request!$E34,0),(IF(AND(Request!$S$12="Multi",Request!$R$12="PY"),ROUND(Request!$E34*(1+Request!$M34)/Worksheet!$D$5*Worksheet!$D$5,0),(IF(AND(Request!$S$12&lt;&gt;"Multi",Request!$R$12="FY"),ROUND(((1+Request!$S$12)^(Worksheet!$B$20+1)*Worksheet!$D$9+(1+Request!$S$12)^(Worksheet!$B$20+2)*Worksheet!$D$10)/Worksheet!$D$5*Request!$E34,0),ROUND(Request!$E34*(1+Request!$S$12)/Worksheet!$D$5*Worksheet!$D$5,0)))))))))</f>
        <v/>
      </c>
      <c r="E346" s="218"/>
      <c r="F346" s="220" t="str">
        <f>IF(Worksheet!$E$5=0,"",IF($C$4=$D$4,(IF(AND(Request!$S$12="Multi",Request!$R$12="FY"),ROUND(((1+Request!$M34)^(Worksheet!$B$20+1)*Worksheet!$E$9+(1+Request!$M34)^(Worksheet!$B$20+3)*Worksheet!$E$10)/Worksheet!$E$5*Request!$E34,0),(IF(AND(Request!$S$12="Multi",Request!$R$12="PY"),ROUND(Request!$E34*((1+Request!$M34)^2)/Worksheet!$E$5*Worksheet!$E$5,0),(IF(AND(Request!$S$12&lt;&gt;"Multi",Request!$R$12="FY"),ROUND(((1+Request!$S$12)^(Worksheet!$B$20+1)*Worksheet!$E$9+(1+Request!$S$12)^(Worksheet!$B$20+2)*Worksheet!$E$10)/Worksheet!$E$5*Request!$E34,0),ROUND(Request!$E34*((1+Request!$S$12)^2)/Worksheet!$E$5*Worksheet!$E$5,0))))))),(IF(AND(Request!$S$12="Multi",Request!$R$12="FY"),ROUND(((1+Request!$M34)^(Worksheet!$B$20+2)*Worksheet!$E$9+(1+Request!$M34)^(Worksheet!$B$20+3)*Worksheet!$E$10)/Worksheet!$E$5*Request!$E34,0),(IF(AND(Request!$S$12="Multi",Request!$R$12="PY"),ROUND(Request!$E34*((1+Request!$M34)^2)/Worksheet!$E$5*Worksheet!$E$5,0),(IF(AND(Request!$S$12&lt;&gt;"Multi",Request!$R$12="FY"),ROUND(((1+Request!$S$12)^(Worksheet!$B$20+2)*Worksheet!$E$9+(1+Request!$S$12)^(Worksheet!$B$20+3)*Worksheet!$E$10)/Worksheet!$E$5*Request!$E34,0),ROUND(Request!$E34*((1+Request!$S$12)^2)/Worksheet!$E$5*Worksheet!$E$5,0)))))))))</f>
        <v/>
      </c>
      <c r="G346" s="218"/>
      <c r="H346" s="220" t="str">
        <f>IF(Worksheet!$F$5=0,"",IF($C$4=$D$4,(IF(AND(Request!$S$12="Multi",Request!$R$12="FY"),ROUND(((1+Request!$M34)^(Worksheet!$B$20+2)*Worksheet!$F$9+(1+Request!$M34)^(Worksheet!$B$20+3)*Worksheet!$F$10)/Worksheet!$F$5*Request!$E34,0),(IF(AND(Request!$S$12="Multi",Request!$R$12="PY"),ROUND(Request!$E34*((1+Request!$M34)^3)/Worksheet!$F$5*Worksheet!$F$5,0),(IF(AND(Request!$S$12&lt;&gt;"Multi",Request!$R$12="FY"),ROUND(((1+Request!$S$12)^(Worksheet!$B$20+2)*Worksheet!$F$9+(1+Request!$S$12)^(Worksheet!$B$20+3)*Worksheet!$F$10)/Worksheet!$F$5*Request!$E34,0),ROUND(Request!$E34*((1+Request!$S$12)^3)/Worksheet!$F$5*Worksheet!$F$5,0))))))),(IF(AND(Request!$S$12="Multi",Request!$R$12="FY"),ROUND(((1+Request!$M34)^(Worksheet!$B$20+3)*Worksheet!$F$9+(1+Request!$M34)^(Worksheet!$B$20+4)*Worksheet!$F$10)/Worksheet!$F$5*Request!$E34,0),(IF(AND(Request!$S$12="Multi",Request!$R$12="PY"),ROUND(Request!$E34*((1+Request!$M34)^3)/Worksheet!$F$5*Worksheet!$F$5,0),(IF(AND(Request!$S$12&lt;&gt;"Multi",Request!$R$12="FY"),ROUND(((1+Request!$S$12)^(Worksheet!$B$20+3)*Worksheet!$F$9+(1+Request!$S$12)^(Worksheet!$B$20+4)*Worksheet!$F$10)/Worksheet!$F$5*Request!$E34,0),ROUND(Request!$E34*((1+Request!$S$12)^3)/Worksheet!$F$5*Worksheet!$F$5,0)))))))))</f>
        <v/>
      </c>
      <c r="I346" s="218"/>
      <c r="J346" s="220" t="str">
        <f>IF(Worksheet!$G$5=0,"",IF($C$4=$D$4,(IF(AND(Request!$S$12="Multi",Request!$R$12="FY"),ROUND(((1+Request!$M34)^(Worksheet!$B$20+3)*Worksheet!$G$9+(1+Request!$M34)^(Worksheet!$B$20+4)*Worksheet!$G$10)/Worksheet!$G$5*Request!$E34,0),(IF(AND(Request!$S$12="Multi",Request!$R$12="PY"),ROUND(Request!$E34*((1+Request!$M34)^4)/Worksheet!$G$5*Worksheet!$G$5,0),(IF(AND(Request!$S$12&lt;&gt;"Multi",Request!$R$12="FY"),ROUND(((1+Request!$S$12)^(Worksheet!$B$20+3)*Worksheet!$G$9+(1+Request!$S$12)^(Worksheet!$B$20+4)*Worksheet!$G$10)/Worksheet!$G$5*Request!$E34,0),ROUND(Request!$E34*((1+Request!$S$12)^4)/Worksheet!$G$5*Worksheet!$G$5,0))))))),(IF(AND(Request!$S$12="Multi",Request!$R$12="FY"),ROUND(((1+Request!$M34)^(Worksheet!$B$20+4)*Worksheet!$G$9+(1+Request!$M34)^(Worksheet!$B$20+5)*Worksheet!$G$10)/Worksheet!$G$5*Request!$E34,0),(IF(AND(Request!$S$12="Multi",Request!$R$12="PY"),ROUND(Request!$E34*((1+Request!$M34)^4)/Worksheet!$G$5*Worksheet!$G$5,0),(IF(AND(Request!$S$12&lt;&gt;"Multi",Request!$R$12="FY"),ROUND(((1+Request!$S$12)^(Worksheet!$B$20+4)*Worksheet!$G$9+(1+Request!$S$12)^(Worksheet!$B$20+5)*Worksheet!$G$10)/Worksheet!$G$5*Request!$E34,0),ROUND(Request!$E34*((1+Request!$S$12)^4)/Worksheet!$G$5*Worksheet!$G$5,0)))))))))</f>
        <v/>
      </c>
      <c r="K346" s="218"/>
    </row>
    <row r="347" spans="1:11" x14ac:dyDescent="0.15">
      <c r="A347" s="81" t="e">
        <f>#REF!</f>
        <v>#REF!</v>
      </c>
      <c r="B347" s="220">
        <f>IF(Worksheet!$C$5=0,"",IF(AND(Request!$S$12="Multi",Request!$R$12="FY"),ROUND(((1+Request!$M35)^Worksheet!$B$20*Worksheet!$C$9+(1+Request!$M35)^(Worksheet!$B$20+1)*Worksheet!$C$10)/(Worksheet!$C$5)*Request!$E35,0),(IF(AND(Request!$S$12="Multi",Request!$R$12="PY"),ROUND(Request!$E35/(Worksheet!$C$5)*Worksheet!$C$5,0),(IF(AND(Request!$S$12&lt;&gt;"Multi",Request!$R$12="FY"),ROUND(((1+Request!$S$12)^Worksheet!$B$20*Worksheet!$C$9+(1+Request!$S$12)^(Worksheet!$B$20+1)*Worksheet!$C$10)/Worksheet!$C$5*Request!$E35,0),ROUND(Request!$E35/Worksheet!$C$5*Worksheet!$C$5,0)))))))</f>
        <v>0</v>
      </c>
      <c r="C347" s="218"/>
      <c r="D347" s="220" t="str">
        <f>IF(Worksheet!$D$5=0,"",IF($C$4=$D$4,(IF(AND(Request!$S$12="Multi",Request!$R$12="FY"),ROUND(((1+Request!$M35)^(Worksheet!$B$20)*Worksheet!$D$9+(1+Request!$M35)^(Worksheet!$B$20+1)*Worksheet!$D$10)/Worksheet!$D$5*Request!$E35,0),(IF(AND(Request!$S$12="Multi",Request!$R$12="PY"),ROUND(Request!$E35*(1+Request!$M35)/Worksheet!$D$5*Worksheet!$D$5,0),(IF(AND(Request!$S$12&lt;&gt;"Multi",Request!$R$12="FY"),ROUND(((1+Request!$S$12)^(Worksheet!$B$20)*Worksheet!$D$9+(1+Request!$S$12)^(Worksheet!$B$20+1)*Worksheet!$D$10)/Worksheet!$D$5*Request!$E35,0),ROUND(Request!$E35*(1+Request!$S$12)/Worksheet!$D$5*Worksheet!$D$5,0))))))),(IF(AND(Request!$S$12="Multi",Request!$R$12="FY"),ROUND(((1+Request!$M35)^(Worksheet!$B$20+1)*Worksheet!$D$9+(1+Request!$M35)^(Worksheet!$B$20+2)*Worksheet!$D$10)/Worksheet!$D$5*Request!$E35,0),(IF(AND(Request!$S$12="Multi",Request!$R$12="PY"),ROUND(Request!$E35*(1+Request!$M35)/Worksheet!$D$5*Worksheet!$D$5,0),(IF(AND(Request!$S$12&lt;&gt;"Multi",Request!$R$12="FY"),ROUND(((1+Request!$S$12)^(Worksheet!$B$20+1)*Worksheet!$D$9+(1+Request!$S$12)^(Worksheet!$B$20+2)*Worksheet!$D$10)/Worksheet!$D$5*Request!$E35,0),ROUND(Request!$E35*(1+Request!$S$12)/Worksheet!$D$5*Worksheet!$D$5,0)))))))))</f>
        <v/>
      </c>
      <c r="E347" s="218"/>
      <c r="F347" s="220" t="str">
        <f>IF(Worksheet!$E$5=0,"",IF($C$4=$D$4,(IF(AND(Request!$S$12="Multi",Request!$R$12="FY"),ROUND(((1+Request!$M35)^(Worksheet!$B$20+1)*Worksheet!$E$9+(1+Request!$M35)^(Worksheet!$B$20+3)*Worksheet!$E$10)/Worksheet!$E$5*Request!$E35,0),(IF(AND(Request!$S$12="Multi",Request!$R$12="PY"),ROUND(Request!$E35*((1+Request!$M35)^2)/Worksheet!$E$5*Worksheet!$E$5,0),(IF(AND(Request!$S$12&lt;&gt;"Multi",Request!$R$12="FY"),ROUND(((1+Request!$S$12)^(Worksheet!$B$20+1)*Worksheet!$E$9+(1+Request!$S$12)^(Worksheet!$B$20+2)*Worksheet!$E$10)/Worksheet!$E$5*Request!$E35,0),ROUND(Request!$E35*((1+Request!$S$12)^2)/Worksheet!$E$5*Worksheet!$E$5,0))))))),(IF(AND(Request!$S$12="Multi",Request!$R$12="FY"),ROUND(((1+Request!$M35)^(Worksheet!$B$20+2)*Worksheet!$E$9+(1+Request!$M35)^(Worksheet!$B$20+3)*Worksheet!$E$10)/Worksheet!$E$5*Request!$E35,0),(IF(AND(Request!$S$12="Multi",Request!$R$12="PY"),ROUND(Request!$E35*((1+Request!$M35)^2)/Worksheet!$E$5*Worksheet!$E$5,0),(IF(AND(Request!$S$12&lt;&gt;"Multi",Request!$R$12="FY"),ROUND(((1+Request!$S$12)^(Worksheet!$B$20+2)*Worksheet!$E$9+(1+Request!$S$12)^(Worksheet!$B$20+3)*Worksheet!$E$10)/Worksheet!$E$5*Request!$E35,0),ROUND(Request!$E35*((1+Request!$S$12)^2)/Worksheet!$E$5*Worksheet!$E$5,0)))))))))</f>
        <v/>
      </c>
      <c r="G347" s="218"/>
      <c r="H347" s="220" t="str">
        <f>IF(Worksheet!$F$5=0,"",IF($C$4=$D$4,(IF(AND(Request!$S$12="Multi",Request!$R$12="FY"),ROUND(((1+Request!$M35)^(Worksheet!$B$20+2)*Worksheet!$F$9+(1+Request!$M35)^(Worksheet!$B$20+3)*Worksheet!$F$10)/Worksheet!$F$5*Request!$E35,0),(IF(AND(Request!$S$12="Multi",Request!$R$12="PY"),ROUND(Request!$E35*((1+Request!$M35)^3)/Worksheet!$F$5*Worksheet!$F$5,0),(IF(AND(Request!$S$12&lt;&gt;"Multi",Request!$R$12="FY"),ROUND(((1+Request!$S$12)^(Worksheet!$B$20+2)*Worksheet!$F$9+(1+Request!$S$12)^(Worksheet!$B$20+3)*Worksheet!$F$10)/Worksheet!$F$5*Request!$E35,0),ROUND(Request!$E35*((1+Request!$S$12)^3)/Worksheet!$F$5*Worksheet!$F$5,0))))))),(IF(AND(Request!$S$12="Multi",Request!$R$12="FY"),ROUND(((1+Request!$M35)^(Worksheet!$B$20+3)*Worksheet!$F$9+(1+Request!$M35)^(Worksheet!$B$20+4)*Worksheet!$F$10)/Worksheet!$F$5*Request!$E35,0),(IF(AND(Request!$S$12="Multi",Request!$R$12="PY"),ROUND(Request!$E35*((1+Request!$M35)^3)/Worksheet!$F$5*Worksheet!$F$5,0),(IF(AND(Request!$S$12&lt;&gt;"Multi",Request!$R$12="FY"),ROUND(((1+Request!$S$12)^(Worksheet!$B$20+3)*Worksheet!$F$9+(1+Request!$S$12)^(Worksheet!$B$20+4)*Worksheet!$F$10)/Worksheet!$F$5*Request!$E35,0),ROUND(Request!$E35*((1+Request!$S$12)^3)/Worksheet!$F$5*Worksheet!$F$5,0)))))))))</f>
        <v/>
      </c>
      <c r="I347" s="218"/>
      <c r="J347" s="220" t="str">
        <f>IF(Worksheet!$G$5=0,"",IF($C$4=$D$4,(IF(AND(Request!$S$12="Multi",Request!$R$12="FY"),ROUND(((1+Request!$M35)^(Worksheet!$B$20+3)*Worksheet!$G$9+(1+Request!$M35)^(Worksheet!$B$20+4)*Worksheet!$G$10)/Worksheet!$G$5*Request!$E35,0),(IF(AND(Request!$S$12="Multi",Request!$R$12="PY"),ROUND(Request!$E35*((1+Request!$M35)^4)/Worksheet!$G$5*Worksheet!$G$5,0),(IF(AND(Request!$S$12&lt;&gt;"Multi",Request!$R$12="FY"),ROUND(((1+Request!$S$12)^(Worksheet!$B$20+3)*Worksheet!$G$9+(1+Request!$S$12)^(Worksheet!$B$20+4)*Worksheet!$G$10)/Worksheet!$G$5*Request!$E35,0),ROUND(Request!$E35*((1+Request!$S$12)^4)/Worksheet!$G$5*Worksheet!$G$5,0))))))),(IF(AND(Request!$S$12="Multi",Request!$R$12="FY"),ROUND(((1+Request!$M35)^(Worksheet!$B$20+4)*Worksheet!$G$9+(1+Request!$M35)^(Worksheet!$B$20+5)*Worksheet!$G$10)/Worksheet!$G$5*Request!$E35,0),(IF(AND(Request!$S$12="Multi",Request!$R$12="PY"),ROUND(Request!$E35*((1+Request!$M35)^4)/Worksheet!$G$5*Worksheet!$G$5,0),(IF(AND(Request!$S$12&lt;&gt;"Multi",Request!$R$12="FY"),ROUND(((1+Request!$S$12)^(Worksheet!$B$20+4)*Worksheet!$G$9+(1+Request!$S$12)^(Worksheet!$B$20+5)*Worksheet!$G$10)/Worksheet!$G$5*Request!$E35,0),ROUND(Request!$E35*((1+Request!$S$12)^4)/Worksheet!$G$5*Worksheet!$G$5,0)))))))))</f>
        <v/>
      </c>
      <c r="K347" s="218"/>
    </row>
    <row r="348" spans="1:11" x14ac:dyDescent="0.15">
      <c r="A348" s="81" t="e">
        <f>#REF!</f>
        <v>#REF!</v>
      </c>
      <c r="B348" s="220">
        <f>IF(Worksheet!$C$5=0,"",IF(AND(Request!$S$12="Multi",Request!$R$12="FY"),ROUND(((1+Request!$M36)^Worksheet!$B$20*Worksheet!$C$9+(1+Request!$M36)^(Worksheet!$B$20+1)*Worksheet!$C$10)/(Worksheet!$C$5)*Request!$E36,0),(IF(AND(Request!$S$12="Multi",Request!$R$12="PY"),ROUND(Request!$E36/(Worksheet!$C$5)*Worksheet!$C$5,0),(IF(AND(Request!$S$12&lt;&gt;"Multi",Request!$R$12="FY"),ROUND(((1+Request!$S$12)^Worksheet!$B$20*Worksheet!$C$9+(1+Request!$S$12)^(Worksheet!$B$20+1)*Worksheet!$C$10)/Worksheet!$C$5*Request!$E36,0),ROUND(Request!$E36/Worksheet!$C$5*Worksheet!$C$5,0)))))))</f>
        <v>0</v>
      </c>
      <c r="C348" s="218"/>
      <c r="D348" s="220" t="str">
        <f>IF(Worksheet!$D$5=0,"",IF($C$4=$D$4,(IF(AND(Request!$S$12="Multi",Request!$R$12="FY"),ROUND(((1+Request!$M36)^(Worksheet!$B$20)*Worksheet!$D$9+(1+Request!$M36)^(Worksheet!$B$20+1)*Worksheet!$D$10)/Worksheet!$D$5*Request!$E36,0),(IF(AND(Request!$S$12="Multi",Request!$R$12="PY"),ROUND(Request!$E36*(1+Request!$M36)/Worksheet!$D$5*Worksheet!$D$5,0),(IF(AND(Request!$S$12&lt;&gt;"Multi",Request!$R$12="FY"),ROUND(((1+Request!$S$12)^(Worksheet!$B$20)*Worksheet!$D$9+(1+Request!$S$12)^(Worksheet!$B$20+1)*Worksheet!$D$10)/Worksheet!$D$5*Request!$E36,0),ROUND(Request!$E36*(1+Request!$S$12)/Worksheet!$D$5*Worksheet!$D$5,0))))))),(IF(AND(Request!$S$12="Multi",Request!$R$12="FY"),ROUND(((1+Request!$M36)^(Worksheet!$B$20+1)*Worksheet!$D$9+(1+Request!$M36)^(Worksheet!$B$20+2)*Worksheet!$D$10)/Worksheet!$D$5*Request!$E36,0),(IF(AND(Request!$S$12="Multi",Request!$R$12="PY"),ROUND(Request!$E36*(1+Request!$M36)/Worksheet!$D$5*Worksheet!$D$5,0),(IF(AND(Request!$S$12&lt;&gt;"Multi",Request!$R$12="FY"),ROUND(((1+Request!$S$12)^(Worksheet!$B$20+1)*Worksheet!$D$9+(1+Request!$S$12)^(Worksheet!$B$20+2)*Worksheet!$D$10)/Worksheet!$D$5*Request!$E36,0),ROUND(Request!$E36*(1+Request!$S$12)/Worksheet!$D$5*Worksheet!$D$5,0)))))))))</f>
        <v/>
      </c>
      <c r="E348" s="218"/>
      <c r="F348" s="220" t="str">
        <f>IF(Worksheet!$E$5=0,"",IF($C$4=$D$4,(IF(AND(Request!$S$12="Multi",Request!$R$12="FY"),ROUND(((1+Request!$M36)^(Worksheet!$B$20+1)*Worksheet!$E$9+(1+Request!$M36)^(Worksheet!$B$20+3)*Worksheet!$E$10)/Worksheet!$E$5*Request!$E36,0),(IF(AND(Request!$S$12="Multi",Request!$R$12="PY"),ROUND(Request!$E36*((1+Request!$M36)^2)/Worksheet!$E$5*Worksheet!$E$5,0),(IF(AND(Request!$S$12&lt;&gt;"Multi",Request!$R$12="FY"),ROUND(((1+Request!$S$12)^(Worksheet!$B$20+1)*Worksheet!$E$9+(1+Request!$S$12)^(Worksheet!$B$20+2)*Worksheet!$E$10)/Worksheet!$E$5*Request!$E36,0),ROUND(Request!$E36*((1+Request!$S$12)^2)/Worksheet!$E$5*Worksheet!$E$5,0))))))),(IF(AND(Request!$S$12="Multi",Request!$R$12="FY"),ROUND(((1+Request!$M36)^(Worksheet!$B$20+2)*Worksheet!$E$9+(1+Request!$M36)^(Worksheet!$B$20+3)*Worksheet!$E$10)/Worksheet!$E$5*Request!$E36,0),(IF(AND(Request!$S$12="Multi",Request!$R$12="PY"),ROUND(Request!$E36*((1+Request!$M36)^2)/Worksheet!$E$5*Worksheet!$E$5,0),(IF(AND(Request!$S$12&lt;&gt;"Multi",Request!$R$12="FY"),ROUND(((1+Request!$S$12)^(Worksheet!$B$20+2)*Worksheet!$E$9+(1+Request!$S$12)^(Worksheet!$B$20+3)*Worksheet!$E$10)/Worksheet!$E$5*Request!$E36,0),ROUND(Request!$E36*((1+Request!$S$12)^2)/Worksheet!$E$5*Worksheet!$E$5,0)))))))))</f>
        <v/>
      </c>
      <c r="G348" s="218"/>
      <c r="H348" s="220" t="str">
        <f>IF(Worksheet!$F$5=0,"",IF($C$4=$D$4,(IF(AND(Request!$S$12="Multi",Request!$R$12="FY"),ROUND(((1+Request!$M36)^(Worksheet!$B$20+2)*Worksheet!$F$9+(1+Request!$M36)^(Worksheet!$B$20+3)*Worksheet!$F$10)/Worksheet!$F$5*Request!$E36,0),(IF(AND(Request!$S$12="Multi",Request!$R$12="PY"),ROUND(Request!$E36*((1+Request!$M36)^3)/Worksheet!$F$5*Worksheet!$F$5,0),(IF(AND(Request!$S$12&lt;&gt;"Multi",Request!$R$12="FY"),ROUND(((1+Request!$S$12)^(Worksheet!$B$20+2)*Worksheet!$F$9+(1+Request!$S$12)^(Worksheet!$B$20+3)*Worksheet!$F$10)/Worksheet!$F$5*Request!$E36,0),ROUND(Request!$E36*((1+Request!$S$12)^3)/Worksheet!$F$5*Worksheet!$F$5,0))))))),(IF(AND(Request!$S$12="Multi",Request!$R$12="FY"),ROUND(((1+Request!$M36)^(Worksheet!$B$20+3)*Worksheet!$F$9+(1+Request!$M36)^(Worksheet!$B$20+4)*Worksheet!$F$10)/Worksheet!$F$5*Request!$E36,0),(IF(AND(Request!$S$12="Multi",Request!$R$12="PY"),ROUND(Request!$E36*((1+Request!$M36)^3)/Worksheet!$F$5*Worksheet!$F$5,0),(IF(AND(Request!$S$12&lt;&gt;"Multi",Request!$R$12="FY"),ROUND(((1+Request!$S$12)^(Worksheet!$B$20+3)*Worksheet!$F$9+(1+Request!$S$12)^(Worksheet!$B$20+4)*Worksheet!$F$10)/Worksheet!$F$5*Request!$E36,0),ROUND(Request!$E36*((1+Request!$S$12)^3)/Worksheet!$F$5*Worksheet!$F$5,0)))))))))</f>
        <v/>
      </c>
      <c r="I348" s="218"/>
      <c r="J348" s="220" t="str">
        <f>IF(Worksheet!$G$5=0,"",IF($C$4=$D$4,(IF(AND(Request!$S$12="Multi",Request!$R$12="FY"),ROUND(((1+Request!$M36)^(Worksheet!$B$20+3)*Worksheet!$G$9+(1+Request!$M36)^(Worksheet!$B$20+4)*Worksheet!$G$10)/Worksheet!$G$5*Request!$E36,0),(IF(AND(Request!$S$12="Multi",Request!$R$12="PY"),ROUND(Request!$E36*((1+Request!$M36)^4)/Worksheet!$G$5*Worksheet!$G$5,0),(IF(AND(Request!$S$12&lt;&gt;"Multi",Request!$R$12="FY"),ROUND(((1+Request!$S$12)^(Worksheet!$B$20+3)*Worksheet!$G$9+(1+Request!$S$12)^(Worksheet!$B$20+4)*Worksheet!$G$10)/Worksheet!$G$5*Request!$E36,0),ROUND(Request!$E36*((1+Request!$S$12)^4)/Worksheet!$G$5*Worksheet!$G$5,0))))))),(IF(AND(Request!$S$12="Multi",Request!$R$12="FY"),ROUND(((1+Request!$M36)^(Worksheet!$B$20+4)*Worksheet!$G$9+(1+Request!$M36)^(Worksheet!$B$20+5)*Worksheet!$G$10)/Worksheet!$G$5*Request!$E36,0),(IF(AND(Request!$S$12="Multi",Request!$R$12="PY"),ROUND(Request!$E36*((1+Request!$M36)^4)/Worksheet!$G$5*Worksheet!$G$5,0),(IF(AND(Request!$S$12&lt;&gt;"Multi",Request!$R$12="FY"),ROUND(((1+Request!$S$12)^(Worksheet!$B$20+4)*Worksheet!$G$9+(1+Request!$S$12)^(Worksheet!$B$20+5)*Worksheet!$G$10)/Worksheet!$G$5*Request!$E36,0),ROUND(Request!$E36*((1+Request!$S$12)^4)/Worksheet!$G$5*Worksheet!$G$5,0)))))))))</f>
        <v/>
      </c>
      <c r="K348" s="218"/>
    </row>
    <row r="349" spans="1:11" x14ac:dyDescent="0.15">
      <c r="A349" s="81" t="e">
        <f>#REF!</f>
        <v>#REF!</v>
      </c>
      <c r="B349" s="220">
        <f>IF(Worksheet!$C$5=0,"",IF(AND(Request!$S$12="Multi",Request!$R$12="FY"),ROUND(((1+Request!$M37)^Worksheet!$B$20*Worksheet!$C$9+(1+Request!$M37)^(Worksheet!$B$20+1)*Worksheet!$C$10)/(Worksheet!$C$5)*Request!$E37,0),(IF(AND(Request!$S$12="Multi",Request!$R$12="PY"),ROUND(Request!$E37/(Worksheet!$C$5)*Worksheet!$C$5,0),(IF(AND(Request!$S$12&lt;&gt;"Multi",Request!$R$12="FY"),ROUND(((1+Request!$S$12)^Worksheet!$B$20*Worksheet!$C$9+(1+Request!$S$12)^(Worksheet!$B$20+1)*Worksheet!$C$10)/Worksheet!$C$5*Request!$E37,0),ROUND(Request!$E37/Worksheet!$C$5*Worksheet!$C$5,0)))))))</f>
        <v>0</v>
      </c>
      <c r="C349" s="218"/>
      <c r="D349" s="220" t="str">
        <f>IF(Worksheet!$D$5=0,"",IF($C$4=$D$4,(IF(AND(Request!$S$12="Multi",Request!$R$12="FY"),ROUND(((1+Request!$M37)^(Worksheet!$B$20)*Worksheet!$D$9+(1+Request!$M37)^(Worksheet!$B$20+1)*Worksheet!$D$10)/Worksheet!$D$5*Request!$E37,0),(IF(AND(Request!$S$12="Multi",Request!$R$12="PY"),ROUND(Request!$E37*(1+Request!$M37)/Worksheet!$D$5*Worksheet!$D$5,0),(IF(AND(Request!$S$12&lt;&gt;"Multi",Request!$R$12="FY"),ROUND(((1+Request!$S$12)^(Worksheet!$B$20)*Worksheet!$D$9+(1+Request!$S$12)^(Worksheet!$B$20+1)*Worksheet!$D$10)/Worksheet!$D$5*Request!$E37,0),ROUND(Request!$E37*(1+Request!$S$12)/Worksheet!$D$5*Worksheet!$D$5,0))))))),(IF(AND(Request!$S$12="Multi",Request!$R$12="FY"),ROUND(((1+Request!$M37)^(Worksheet!$B$20+1)*Worksheet!$D$9+(1+Request!$M37)^(Worksheet!$B$20+2)*Worksheet!$D$10)/Worksheet!$D$5*Request!$E37,0),(IF(AND(Request!$S$12="Multi",Request!$R$12="PY"),ROUND(Request!$E37*(1+Request!$M37)/Worksheet!$D$5*Worksheet!$D$5,0),(IF(AND(Request!$S$12&lt;&gt;"Multi",Request!$R$12="FY"),ROUND(((1+Request!$S$12)^(Worksheet!$B$20+1)*Worksheet!$D$9+(1+Request!$S$12)^(Worksheet!$B$20+2)*Worksheet!$D$10)/Worksheet!$D$5*Request!$E37,0),ROUND(Request!$E37*(1+Request!$S$12)/Worksheet!$D$5*Worksheet!$D$5,0)))))))))</f>
        <v/>
      </c>
      <c r="E349" s="218"/>
      <c r="F349" s="220" t="str">
        <f>IF(Worksheet!$E$5=0,"",IF($C$4=$D$4,(IF(AND(Request!$S$12="Multi",Request!$R$12="FY"),ROUND(((1+Request!$M37)^(Worksheet!$B$20+1)*Worksheet!$E$9+(1+Request!$M37)^(Worksheet!$B$20+3)*Worksheet!$E$10)/Worksheet!$E$5*Request!$E37,0),(IF(AND(Request!$S$12="Multi",Request!$R$12="PY"),ROUND(Request!$E37*((1+Request!$M37)^2)/Worksheet!$E$5*Worksheet!$E$5,0),(IF(AND(Request!$S$12&lt;&gt;"Multi",Request!$R$12="FY"),ROUND(((1+Request!$S$12)^(Worksheet!$B$20+1)*Worksheet!$E$9+(1+Request!$S$12)^(Worksheet!$B$20+2)*Worksheet!$E$10)/Worksheet!$E$5*Request!$E37,0),ROUND(Request!$E37*((1+Request!$S$12)^2)/Worksheet!$E$5*Worksheet!$E$5,0))))))),(IF(AND(Request!$S$12="Multi",Request!$R$12="FY"),ROUND(((1+Request!$M37)^(Worksheet!$B$20+2)*Worksheet!$E$9+(1+Request!$M37)^(Worksheet!$B$20+3)*Worksheet!$E$10)/Worksheet!$E$5*Request!$E37,0),(IF(AND(Request!$S$12="Multi",Request!$R$12="PY"),ROUND(Request!$E37*((1+Request!$M37)^2)/Worksheet!$E$5*Worksheet!$E$5,0),(IF(AND(Request!$S$12&lt;&gt;"Multi",Request!$R$12="FY"),ROUND(((1+Request!$S$12)^(Worksheet!$B$20+2)*Worksheet!$E$9+(1+Request!$S$12)^(Worksheet!$B$20+3)*Worksheet!$E$10)/Worksheet!$E$5*Request!$E37,0),ROUND(Request!$E37*((1+Request!$S$12)^2)/Worksheet!$E$5*Worksheet!$E$5,0)))))))))</f>
        <v/>
      </c>
      <c r="G349" s="218"/>
      <c r="H349" s="220" t="str">
        <f>IF(Worksheet!$F$5=0,"",IF($C$4=$D$4,(IF(AND(Request!$S$12="Multi",Request!$R$12="FY"),ROUND(((1+Request!$M37)^(Worksheet!$B$20+2)*Worksheet!$F$9+(1+Request!$M37)^(Worksheet!$B$20+3)*Worksheet!$F$10)/Worksheet!$F$5*Request!$E37,0),(IF(AND(Request!$S$12="Multi",Request!$R$12="PY"),ROUND(Request!$E37*((1+Request!$M37)^3)/Worksheet!$F$5*Worksheet!$F$5,0),(IF(AND(Request!$S$12&lt;&gt;"Multi",Request!$R$12="FY"),ROUND(((1+Request!$S$12)^(Worksheet!$B$20+2)*Worksheet!$F$9+(1+Request!$S$12)^(Worksheet!$B$20+3)*Worksheet!$F$10)/Worksheet!$F$5*Request!$E37,0),ROUND(Request!$E37*((1+Request!$S$12)^3)/Worksheet!$F$5*Worksheet!$F$5,0))))))),(IF(AND(Request!$S$12="Multi",Request!$R$12="FY"),ROUND(((1+Request!$M37)^(Worksheet!$B$20+3)*Worksheet!$F$9+(1+Request!$M37)^(Worksheet!$B$20+4)*Worksheet!$F$10)/Worksheet!$F$5*Request!$E37,0),(IF(AND(Request!$S$12="Multi",Request!$R$12="PY"),ROUND(Request!$E37*((1+Request!$M37)^3)/Worksheet!$F$5*Worksheet!$F$5,0),(IF(AND(Request!$S$12&lt;&gt;"Multi",Request!$R$12="FY"),ROUND(((1+Request!$S$12)^(Worksheet!$B$20+3)*Worksheet!$F$9+(1+Request!$S$12)^(Worksheet!$B$20+4)*Worksheet!$F$10)/Worksheet!$F$5*Request!$E37,0),ROUND(Request!$E37*((1+Request!$S$12)^3)/Worksheet!$F$5*Worksheet!$F$5,0)))))))))</f>
        <v/>
      </c>
      <c r="I349" s="218"/>
      <c r="J349" s="220" t="str">
        <f>IF(Worksheet!$G$5=0,"",IF($C$4=$D$4,(IF(AND(Request!$S$12="Multi",Request!$R$12="FY"),ROUND(((1+Request!$M37)^(Worksheet!$B$20+3)*Worksheet!$G$9+(1+Request!$M37)^(Worksheet!$B$20+4)*Worksheet!$G$10)/Worksheet!$G$5*Request!$E37,0),(IF(AND(Request!$S$12="Multi",Request!$R$12="PY"),ROUND(Request!$E37*((1+Request!$M37)^4)/Worksheet!$G$5*Worksheet!$G$5,0),(IF(AND(Request!$S$12&lt;&gt;"Multi",Request!$R$12="FY"),ROUND(((1+Request!$S$12)^(Worksheet!$B$20+3)*Worksheet!$G$9+(1+Request!$S$12)^(Worksheet!$B$20+4)*Worksheet!$G$10)/Worksheet!$G$5*Request!$E37,0),ROUND(Request!$E37*((1+Request!$S$12)^4)/Worksheet!$G$5*Worksheet!$G$5,0))))))),(IF(AND(Request!$S$12="Multi",Request!$R$12="FY"),ROUND(((1+Request!$M37)^(Worksheet!$B$20+4)*Worksheet!$G$9+(1+Request!$M37)^(Worksheet!$B$20+5)*Worksheet!$G$10)/Worksheet!$G$5*Request!$E37,0),(IF(AND(Request!$S$12="Multi",Request!$R$12="PY"),ROUND(Request!$E37*((1+Request!$M37)^4)/Worksheet!$G$5*Worksheet!$G$5,0),(IF(AND(Request!$S$12&lt;&gt;"Multi",Request!$R$12="FY"),ROUND(((1+Request!$S$12)^(Worksheet!$B$20+4)*Worksheet!$G$9+(1+Request!$S$12)^(Worksheet!$B$20+5)*Worksheet!$G$10)/Worksheet!$G$5*Request!$E37,0),ROUND(Request!$E37*((1+Request!$S$12)^4)/Worksheet!$G$5*Worksheet!$G$5,0)))))))))</f>
        <v/>
      </c>
      <c r="K349" s="218"/>
    </row>
    <row r="350" spans="1:11" x14ac:dyDescent="0.15">
      <c r="A350" s="81" t="e">
        <f>#REF!</f>
        <v>#REF!</v>
      </c>
      <c r="B350" s="220">
        <f>IF(Worksheet!$C$5=0,"",IF(AND(Request!$S$12="Multi",Request!$R$12="FY"),ROUND(((1+Request!$M38)^Worksheet!$B$20*Worksheet!$C$9+(1+Request!$M38)^(Worksheet!$B$20+1)*Worksheet!$C$10)/(Worksheet!$C$5)*Request!$E38,0),(IF(AND(Request!$S$12="Multi",Request!$R$12="PY"),ROUND(Request!$E38/(Worksheet!$C$5)*Worksheet!$C$5,0),(IF(AND(Request!$S$12&lt;&gt;"Multi",Request!$R$12="FY"),ROUND(((1+Request!$S$12)^Worksheet!$B$20*Worksheet!$C$9+(1+Request!$S$12)^(Worksheet!$B$20+1)*Worksheet!$C$10)/Worksheet!$C$5*Request!$E38,0),ROUND(Request!$E38/Worksheet!$C$5*Worksheet!$C$5,0)))))))</f>
        <v>0</v>
      </c>
      <c r="C350" s="218"/>
      <c r="D350" s="220" t="str">
        <f>IF(Worksheet!$D$5=0,"",IF($C$4=$D$4,(IF(AND(Request!$S$12="Multi",Request!$R$12="FY"),ROUND(((1+Request!$M38)^(Worksheet!$B$20)*Worksheet!$D$9+(1+Request!$M38)^(Worksheet!$B$20+1)*Worksheet!$D$10)/Worksheet!$D$5*Request!$E38,0),(IF(AND(Request!$S$12="Multi",Request!$R$12="PY"),ROUND(Request!$E38*(1+Request!$M38)/Worksheet!$D$5*Worksheet!$D$5,0),(IF(AND(Request!$S$12&lt;&gt;"Multi",Request!$R$12="FY"),ROUND(((1+Request!$S$12)^(Worksheet!$B$20)*Worksheet!$D$9+(1+Request!$S$12)^(Worksheet!$B$20+1)*Worksheet!$D$10)/Worksheet!$D$5*Request!$E38,0),ROUND(Request!$E38*(1+Request!$S$12)/Worksheet!$D$5*Worksheet!$D$5,0))))))),(IF(AND(Request!$S$12="Multi",Request!$R$12="FY"),ROUND(((1+Request!$M38)^(Worksheet!$B$20+1)*Worksheet!$D$9+(1+Request!$M38)^(Worksheet!$B$20+2)*Worksheet!$D$10)/Worksheet!$D$5*Request!$E38,0),(IF(AND(Request!$S$12="Multi",Request!$R$12="PY"),ROUND(Request!$E38*(1+Request!$M38)/Worksheet!$D$5*Worksheet!$D$5,0),(IF(AND(Request!$S$12&lt;&gt;"Multi",Request!$R$12="FY"),ROUND(((1+Request!$S$12)^(Worksheet!$B$20+1)*Worksheet!$D$9+(1+Request!$S$12)^(Worksheet!$B$20+2)*Worksheet!$D$10)/Worksheet!$D$5*Request!$E38,0),ROUND(Request!$E38*(1+Request!$S$12)/Worksheet!$D$5*Worksheet!$D$5,0)))))))))</f>
        <v/>
      </c>
      <c r="E350" s="218"/>
      <c r="F350" s="220" t="str">
        <f>IF(Worksheet!$E$5=0,"",IF($C$4=$D$4,(IF(AND(Request!$S$12="Multi",Request!$R$12="FY"),ROUND(((1+Request!$M38)^(Worksheet!$B$20+1)*Worksheet!$E$9+(1+Request!$M38)^(Worksheet!$B$20+3)*Worksheet!$E$10)/Worksheet!$E$5*Request!$E38,0),(IF(AND(Request!$S$12="Multi",Request!$R$12="PY"),ROUND(Request!$E38*((1+Request!$M38)^2)/Worksheet!$E$5*Worksheet!$E$5,0),(IF(AND(Request!$S$12&lt;&gt;"Multi",Request!$R$12="FY"),ROUND(((1+Request!$S$12)^(Worksheet!$B$20+1)*Worksheet!$E$9+(1+Request!$S$12)^(Worksheet!$B$20+2)*Worksheet!$E$10)/Worksheet!$E$5*Request!$E38,0),ROUND(Request!$E38*((1+Request!$S$12)^2)/Worksheet!$E$5*Worksheet!$E$5,0))))))),(IF(AND(Request!$S$12="Multi",Request!$R$12="FY"),ROUND(((1+Request!$M38)^(Worksheet!$B$20+2)*Worksheet!$E$9+(1+Request!$M38)^(Worksheet!$B$20+3)*Worksheet!$E$10)/Worksheet!$E$5*Request!$E38,0),(IF(AND(Request!$S$12="Multi",Request!$R$12="PY"),ROUND(Request!$E38*((1+Request!$M38)^2)/Worksheet!$E$5*Worksheet!$E$5,0),(IF(AND(Request!$S$12&lt;&gt;"Multi",Request!$R$12="FY"),ROUND(((1+Request!$S$12)^(Worksheet!$B$20+2)*Worksheet!$E$9+(1+Request!$S$12)^(Worksheet!$B$20+3)*Worksheet!$E$10)/Worksheet!$E$5*Request!$E38,0),ROUND(Request!$E38*((1+Request!$S$12)^2)/Worksheet!$E$5*Worksheet!$E$5,0)))))))))</f>
        <v/>
      </c>
      <c r="G350" s="218"/>
      <c r="H350" s="220" t="str">
        <f>IF(Worksheet!$F$5=0,"",IF($C$4=$D$4,(IF(AND(Request!$S$12="Multi",Request!$R$12="FY"),ROUND(((1+Request!$M38)^(Worksheet!$B$20+2)*Worksheet!$F$9+(1+Request!$M38)^(Worksheet!$B$20+3)*Worksheet!$F$10)/Worksheet!$F$5*Request!$E38,0),(IF(AND(Request!$S$12="Multi",Request!$R$12="PY"),ROUND(Request!$E38*((1+Request!$M38)^3)/Worksheet!$F$5*Worksheet!$F$5,0),(IF(AND(Request!$S$12&lt;&gt;"Multi",Request!$R$12="FY"),ROUND(((1+Request!$S$12)^(Worksheet!$B$20+2)*Worksheet!$F$9+(1+Request!$S$12)^(Worksheet!$B$20+3)*Worksheet!$F$10)/Worksheet!$F$5*Request!$E38,0),ROUND(Request!$E38*((1+Request!$S$12)^3)/Worksheet!$F$5*Worksheet!$F$5,0))))))),(IF(AND(Request!$S$12="Multi",Request!$R$12="FY"),ROUND(((1+Request!$M38)^(Worksheet!$B$20+3)*Worksheet!$F$9+(1+Request!$M38)^(Worksheet!$B$20+4)*Worksheet!$F$10)/Worksheet!$F$5*Request!$E38,0),(IF(AND(Request!$S$12="Multi",Request!$R$12="PY"),ROUND(Request!$E38*((1+Request!$M38)^3)/Worksheet!$F$5*Worksheet!$F$5,0),(IF(AND(Request!$S$12&lt;&gt;"Multi",Request!$R$12="FY"),ROUND(((1+Request!$S$12)^(Worksheet!$B$20+3)*Worksheet!$F$9+(1+Request!$S$12)^(Worksheet!$B$20+4)*Worksheet!$F$10)/Worksheet!$F$5*Request!$E38,0),ROUND(Request!$E38*((1+Request!$S$12)^3)/Worksheet!$F$5*Worksheet!$F$5,0)))))))))</f>
        <v/>
      </c>
      <c r="I350" s="218"/>
      <c r="J350" s="220" t="str">
        <f>IF(Worksheet!$G$5=0,"",IF($C$4=$D$4,(IF(AND(Request!$S$12="Multi",Request!$R$12="FY"),ROUND(((1+Request!$M38)^(Worksheet!$B$20+3)*Worksheet!$G$9+(1+Request!$M38)^(Worksheet!$B$20+4)*Worksheet!$G$10)/Worksheet!$G$5*Request!$E38,0),(IF(AND(Request!$S$12="Multi",Request!$R$12="PY"),ROUND(Request!$E38*((1+Request!$M38)^4)/Worksheet!$G$5*Worksheet!$G$5,0),(IF(AND(Request!$S$12&lt;&gt;"Multi",Request!$R$12="FY"),ROUND(((1+Request!$S$12)^(Worksheet!$B$20+3)*Worksheet!$G$9+(1+Request!$S$12)^(Worksheet!$B$20+4)*Worksheet!$G$10)/Worksheet!$G$5*Request!$E38,0),ROUND(Request!$E38*((1+Request!$S$12)^4)/Worksheet!$G$5*Worksheet!$G$5,0))))))),(IF(AND(Request!$S$12="Multi",Request!$R$12="FY"),ROUND(((1+Request!$M38)^(Worksheet!$B$20+4)*Worksheet!$G$9+(1+Request!$M38)^(Worksheet!$B$20+5)*Worksheet!$G$10)/Worksheet!$G$5*Request!$E38,0),(IF(AND(Request!$S$12="Multi",Request!$R$12="PY"),ROUND(Request!$E38*((1+Request!$M38)^4)/Worksheet!$G$5*Worksheet!$G$5,0),(IF(AND(Request!$S$12&lt;&gt;"Multi",Request!$R$12="FY"),ROUND(((1+Request!$S$12)^(Worksheet!$B$20+4)*Worksheet!$G$9+(1+Request!$S$12)^(Worksheet!$B$20+5)*Worksheet!$G$10)/Worksheet!$G$5*Request!$E38,0),ROUND(Request!$E38*((1+Request!$S$12)^4)/Worksheet!$G$5*Worksheet!$G$5,0)))))))))</f>
        <v/>
      </c>
      <c r="K350" s="218"/>
    </row>
    <row r="351" spans="1:11" x14ac:dyDescent="0.15">
      <c r="A351" s="81" t="e">
        <f>#REF!</f>
        <v>#REF!</v>
      </c>
      <c r="B351" s="220">
        <f>IF(Worksheet!$C$5=0,"",IF(AND(Request!$S$12="Multi",Request!$R$12="FY"),ROUND(((1+Request!$M39)^Worksheet!$B$20*Worksheet!$C$9+(1+Request!$M39)^(Worksheet!$B$20+1)*Worksheet!$C$10)/(Worksheet!$C$5)*Request!$E39,0),(IF(AND(Request!$S$12="Multi",Request!$R$12="PY"),ROUND(Request!$E39/(Worksheet!$C$5)*Worksheet!$C$5,0),(IF(AND(Request!$S$12&lt;&gt;"Multi",Request!$R$12="FY"),ROUND(((1+Request!$S$12)^Worksheet!$B$20*Worksheet!$C$9+(1+Request!$S$12)^(Worksheet!$B$20+1)*Worksheet!$C$10)/Worksheet!$C$5*Request!$E39,0),ROUND(Request!$E39/Worksheet!$C$5*Worksheet!$C$5,0)))))))</f>
        <v>0</v>
      </c>
      <c r="C351" s="218"/>
      <c r="D351" s="220" t="str">
        <f>IF(Worksheet!$D$5=0,"",IF($C$4=$D$4,(IF(AND(Request!$S$12="Multi",Request!$R$12="FY"),ROUND(((1+Request!$M39)^(Worksheet!$B$20)*Worksheet!$D$9+(1+Request!$M39)^(Worksheet!$B$20+1)*Worksheet!$D$10)/Worksheet!$D$5*Request!$E39,0),(IF(AND(Request!$S$12="Multi",Request!$R$12="PY"),ROUND(Request!$E39*(1+Request!$M39)/Worksheet!$D$5*Worksheet!$D$5,0),(IF(AND(Request!$S$12&lt;&gt;"Multi",Request!$R$12="FY"),ROUND(((1+Request!$S$12)^(Worksheet!$B$20)*Worksheet!$D$9+(1+Request!$S$12)^(Worksheet!$B$20+1)*Worksheet!$D$10)/Worksheet!$D$5*Request!$E39,0),ROUND(Request!$E39*(1+Request!$S$12)/Worksheet!$D$5*Worksheet!$D$5,0))))))),(IF(AND(Request!$S$12="Multi",Request!$R$12="FY"),ROUND(((1+Request!$M39)^(Worksheet!$B$20+1)*Worksheet!$D$9+(1+Request!$M39)^(Worksheet!$B$20+2)*Worksheet!$D$10)/Worksheet!$D$5*Request!$E39,0),(IF(AND(Request!$S$12="Multi",Request!$R$12="PY"),ROUND(Request!$E39*(1+Request!$M39)/Worksheet!$D$5*Worksheet!$D$5,0),(IF(AND(Request!$S$12&lt;&gt;"Multi",Request!$R$12="FY"),ROUND(((1+Request!$S$12)^(Worksheet!$B$20+1)*Worksheet!$D$9+(1+Request!$S$12)^(Worksheet!$B$20+2)*Worksheet!$D$10)/Worksheet!$D$5*Request!$E39,0),ROUND(Request!$E39*(1+Request!$S$12)/Worksheet!$D$5*Worksheet!$D$5,0)))))))))</f>
        <v/>
      </c>
      <c r="E351" s="218"/>
      <c r="F351" s="220" t="str">
        <f>IF(Worksheet!$E$5=0,"",IF($C$4=$D$4,(IF(AND(Request!$S$12="Multi",Request!$R$12="FY"),ROUND(((1+Request!$M39)^(Worksheet!$B$20+1)*Worksheet!$E$9+(1+Request!$M39)^(Worksheet!$B$20+3)*Worksheet!$E$10)/Worksheet!$E$5*Request!$E39,0),(IF(AND(Request!$S$12="Multi",Request!$R$12="PY"),ROUND(Request!$E39*((1+Request!$M39)^2)/Worksheet!$E$5*Worksheet!$E$5,0),(IF(AND(Request!$S$12&lt;&gt;"Multi",Request!$R$12="FY"),ROUND(((1+Request!$S$12)^(Worksheet!$B$20+1)*Worksheet!$E$9+(1+Request!$S$12)^(Worksheet!$B$20+2)*Worksheet!$E$10)/Worksheet!$E$5*Request!$E39,0),ROUND(Request!$E39*((1+Request!$S$12)^2)/Worksheet!$E$5*Worksheet!$E$5,0))))))),(IF(AND(Request!$S$12="Multi",Request!$R$12="FY"),ROUND(((1+Request!$M39)^(Worksheet!$B$20+2)*Worksheet!$E$9+(1+Request!$M39)^(Worksheet!$B$20+3)*Worksheet!$E$10)/Worksheet!$E$5*Request!$E39,0),(IF(AND(Request!$S$12="Multi",Request!$R$12="PY"),ROUND(Request!$E39*((1+Request!$M39)^2)/Worksheet!$E$5*Worksheet!$E$5,0),(IF(AND(Request!$S$12&lt;&gt;"Multi",Request!$R$12="FY"),ROUND(((1+Request!$S$12)^(Worksheet!$B$20+2)*Worksheet!$E$9+(1+Request!$S$12)^(Worksheet!$B$20+3)*Worksheet!$E$10)/Worksheet!$E$5*Request!$E39,0),ROUND(Request!$E39*((1+Request!$S$12)^2)/Worksheet!$E$5*Worksheet!$E$5,0)))))))))</f>
        <v/>
      </c>
      <c r="G351" s="218"/>
      <c r="H351" s="220" t="str">
        <f>IF(Worksheet!$F$5=0,"",IF($C$4=$D$4,(IF(AND(Request!$S$12="Multi",Request!$R$12="FY"),ROUND(((1+Request!$M39)^(Worksheet!$B$20+2)*Worksheet!$F$9+(1+Request!$M39)^(Worksheet!$B$20+3)*Worksheet!$F$10)/Worksheet!$F$5*Request!$E39,0),(IF(AND(Request!$S$12="Multi",Request!$R$12="PY"),ROUND(Request!$E39*((1+Request!$M39)^3)/Worksheet!$F$5*Worksheet!$F$5,0),(IF(AND(Request!$S$12&lt;&gt;"Multi",Request!$R$12="FY"),ROUND(((1+Request!$S$12)^(Worksheet!$B$20+2)*Worksheet!$F$9+(1+Request!$S$12)^(Worksheet!$B$20+3)*Worksheet!$F$10)/Worksheet!$F$5*Request!$E39,0),ROUND(Request!$E39*((1+Request!$S$12)^3)/Worksheet!$F$5*Worksheet!$F$5,0))))))),(IF(AND(Request!$S$12="Multi",Request!$R$12="FY"),ROUND(((1+Request!$M39)^(Worksheet!$B$20+3)*Worksheet!$F$9+(1+Request!$M39)^(Worksheet!$B$20+4)*Worksheet!$F$10)/Worksheet!$F$5*Request!$E39,0),(IF(AND(Request!$S$12="Multi",Request!$R$12="PY"),ROUND(Request!$E39*((1+Request!$M39)^3)/Worksheet!$F$5*Worksheet!$F$5,0),(IF(AND(Request!$S$12&lt;&gt;"Multi",Request!$R$12="FY"),ROUND(((1+Request!$S$12)^(Worksheet!$B$20+3)*Worksheet!$F$9+(1+Request!$S$12)^(Worksheet!$B$20+4)*Worksheet!$F$10)/Worksheet!$F$5*Request!$E39,0),ROUND(Request!$E39*((1+Request!$S$12)^3)/Worksheet!$F$5*Worksheet!$F$5,0)))))))))</f>
        <v/>
      </c>
      <c r="I351" s="218"/>
      <c r="J351" s="220" t="str">
        <f>IF(Worksheet!$G$5=0,"",IF($C$4=$D$4,(IF(AND(Request!$S$12="Multi",Request!$R$12="FY"),ROUND(((1+Request!$M39)^(Worksheet!$B$20+3)*Worksheet!$G$9+(1+Request!$M39)^(Worksheet!$B$20+4)*Worksheet!$G$10)/Worksheet!$G$5*Request!$E39,0),(IF(AND(Request!$S$12="Multi",Request!$R$12="PY"),ROUND(Request!$E39*((1+Request!$M39)^4)/Worksheet!$G$5*Worksheet!$G$5,0),(IF(AND(Request!$S$12&lt;&gt;"Multi",Request!$R$12="FY"),ROUND(((1+Request!$S$12)^(Worksheet!$B$20+3)*Worksheet!$G$9+(1+Request!$S$12)^(Worksheet!$B$20+4)*Worksheet!$G$10)/Worksheet!$G$5*Request!$E39,0),ROUND(Request!$E39*((1+Request!$S$12)^4)/Worksheet!$G$5*Worksheet!$G$5,0))))))),(IF(AND(Request!$S$12="Multi",Request!$R$12="FY"),ROUND(((1+Request!$M39)^(Worksheet!$B$20+4)*Worksheet!$G$9+(1+Request!$M39)^(Worksheet!$B$20+5)*Worksheet!$G$10)/Worksheet!$G$5*Request!$E39,0),(IF(AND(Request!$S$12="Multi",Request!$R$12="PY"),ROUND(Request!$E39*((1+Request!$M39)^4)/Worksheet!$G$5*Worksheet!$G$5,0),(IF(AND(Request!$S$12&lt;&gt;"Multi",Request!$R$12="FY"),ROUND(((1+Request!$S$12)^(Worksheet!$B$20+4)*Worksheet!$G$9+(1+Request!$S$12)^(Worksheet!$B$20+5)*Worksheet!$G$10)/Worksheet!$G$5*Request!$E39,0),ROUND(Request!$E39*((1+Request!$S$12)^4)/Worksheet!$G$5*Worksheet!$G$5,0)))))))))</f>
        <v/>
      </c>
      <c r="K351" s="218"/>
    </row>
    <row r="353" spans="1:11" x14ac:dyDescent="0.15">
      <c r="A353" s="79" t="s">
        <v>170</v>
      </c>
      <c r="B353" s="219" t="s">
        <v>129</v>
      </c>
      <c r="C353" s="219"/>
      <c r="D353" s="219" t="s">
        <v>130</v>
      </c>
      <c r="E353" s="219"/>
      <c r="F353" s="219" t="s">
        <v>131</v>
      </c>
      <c r="G353" s="219"/>
      <c r="H353" s="219" t="s">
        <v>134</v>
      </c>
      <c r="I353" s="219"/>
      <c r="J353" s="219" t="s">
        <v>132</v>
      </c>
      <c r="K353" s="219"/>
    </row>
    <row r="354" spans="1:11" x14ac:dyDescent="0.15">
      <c r="A354" s="81"/>
      <c r="B354" s="217">
        <f>IF(B328="","",ROUND(B328/12*9,0))</f>
        <v>142500</v>
      </c>
      <c r="C354" s="218"/>
      <c r="D354" s="217" t="str">
        <f>IF(D328="","",ROUND(D328/12*9,0))</f>
        <v/>
      </c>
      <c r="E354" s="218"/>
      <c r="F354" s="217" t="str">
        <f>IF(F328="","",ROUND(F328/12*9,0))</f>
        <v/>
      </c>
      <c r="G354" s="218"/>
      <c r="H354" s="217" t="str">
        <f>IF(H328="","",ROUND(H328/12*9,0))</f>
        <v/>
      </c>
      <c r="I354" s="218"/>
      <c r="J354" s="217" t="str">
        <f>IF(J328="","",ROUND(J328/12*9,0))</f>
        <v/>
      </c>
      <c r="K354" s="218"/>
    </row>
    <row r="355" spans="1:11" x14ac:dyDescent="0.15">
      <c r="A355" s="81"/>
      <c r="B355" s="217">
        <f t="shared" ref="B355:B377" si="78">IF(B329="","",ROUND(B329/12*9,0))</f>
        <v>56250</v>
      </c>
      <c r="C355" s="218"/>
      <c r="D355" s="217" t="str">
        <f t="shared" ref="D355:D377" si="79">IF(D329="","",ROUND(D329/12*9,0))</f>
        <v/>
      </c>
      <c r="E355" s="218"/>
      <c r="F355" s="217" t="str">
        <f t="shared" ref="F355:F377" si="80">IF(F329="","",ROUND(F329/12*9,0))</f>
        <v/>
      </c>
      <c r="G355" s="218"/>
      <c r="H355" s="217" t="str">
        <f t="shared" ref="H355:H377" si="81">IF(H329="","",ROUND(H329/12*9,0))</f>
        <v/>
      </c>
      <c r="I355" s="218"/>
      <c r="J355" s="217" t="str">
        <f t="shared" ref="J355:J377" si="82">IF(J329="","",ROUND(J329/12*9,0))</f>
        <v/>
      </c>
      <c r="K355" s="218"/>
    </row>
    <row r="356" spans="1:11" x14ac:dyDescent="0.15">
      <c r="A356" s="81"/>
      <c r="B356" s="217">
        <f t="shared" si="78"/>
        <v>37500</v>
      </c>
      <c r="C356" s="218"/>
      <c r="D356" s="217" t="str">
        <f t="shared" si="79"/>
        <v/>
      </c>
      <c r="E356" s="218"/>
      <c r="F356" s="217" t="str">
        <f t="shared" si="80"/>
        <v/>
      </c>
      <c r="G356" s="218"/>
      <c r="H356" s="217" t="str">
        <f t="shared" si="81"/>
        <v/>
      </c>
      <c r="I356" s="218"/>
      <c r="J356" s="217" t="str">
        <f t="shared" si="82"/>
        <v/>
      </c>
      <c r="K356" s="218"/>
    </row>
    <row r="357" spans="1:11" x14ac:dyDescent="0.15">
      <c r="A357" s="81"/>
      <c r="B357" s="217">
        <f t="shared" si="78"/>
        <v>18750</v>
      </c>
      <c r="C357" s="218"/>
      <c r="D357" s="217" t="str">
        <f t="shared" si="79"/>
        <v/>
      </c>
      <c r="E357" s="218"/>
      <c r="F357" s="217" t="str">
        <f t="shared" si="80"/>
        <v/>
      </c>
      <c r="G357" s="218"/>
      <c r="H357" s="217" t="str">
        <f t="shared" si="81"/>
        <v/>
      </c>
      <c r="I357" s="218"/>
      <c r="J357" s="217" t="str">
        <f t="shared" si="82"/>
        <v/>
      </c>
      <c r="K357" s="218"/>
    </row>
    <row r="358" spans="1:11" x14ac:dyDescent="0.15">
      <c r="A358" s="81"/>
      <c r="B358" s="217">
        <f t="shared" si="78"/>
        <v>0</v>
      </c>
      <c r="C358" s="218"/>
      <c r="D358" s="217" t="str">
        <f t="shared" si="79"/>
        <v/>
      </c>
      <c r="E358" s="218"/>
      <c r="F358" s="217" t="str">
        <f t="shared" si="80"/>
        <v/>
      </c>
      <c r="G358" s="218"/>
      <c r="H358" s="217" t="str">
        <f t="shared" si="81"/>
        <v/>
      </c>
      <c r="I358" s="218"/>
      <c r="J358" s="217" t="str">
        <f t="shared" si="82"/>
        <v/>
      </c>
      <c r="K358" s="218"/>
    </row>
    <row r="359" spans="1:11" x14ac:dyDescent="0.15">
      <c r="A359" s="81"/>
      <c r="B359" s="217">
        <f t="shared" si="78"/>
        <v>0</v>
      </c>
      <c r="C359" s="218"/>
      <c r="D359" s="217" t="str">
        <f t="shared" si="79"/>
        <v/>
      </c>
      <c r="E359" s="218"/>
      <c r="F359" s="217" t="str">
        <f t="shared" si="80"/>
        <v/>
      </c>
      <c r="G359" s="218"/>
      <c r="H359" s="217" t="str">
        <f t="shared" si="81"/>
        <v/>
      </c>
      <c r="I359" s="218"/>
      <c r="J359" s="217" t="str">
        <f t="shared" si="82"/>
        <v/>
      </c>
      <c r="K359" s="218"/>
    </row>
    <row r="360" spans="1:11" x14ac:dyDescent="0.15">
      <c r="A360" s="81"/>
      <c r="B360" s="217">
        <f t="shared" si="78"/>
        <v>0</v>
      </c>
      <c r="C360" s="218"/>
      <c r="D360" s="217" t="str">
        <f t="shared" si="79"/>
        <v/>
      </c>
      <c r="E360" s="218"/>
      <c r="F360" s="217" t="str">
        <f t="shared" si="80"/>
        <v/>
      </c>
      <c r="G360" s="218"/>
      <c r="H360" s="217" t="str">
        <f t="shared" si="81"/>
        <v/>
      </c>
      <c r="I360" s="218"/>
      <c r="J360" s="217" t="str">
        <f t="shared" si="82"/>
        <v/>
      </c>
      <c r="K360" s="218"/>
    </row>
    <row r="361" spans="1:11" x14ac:dyDescent="0.15">
      <c r="A361" s="81"/>
      <c r="B361" s="217">
        <f t="shared" si="78"/>
        <v>0</v>
      </c>
      <c r="C361" s="218"/>
      <c r="D361" s="217" t="str">
        <f t="shared" si="79"/>
        <v/>
      </c>
      <c r="E361" s="218"/>
      <c r="F361" s="217" t="str">
        <f t="shared" si="80"/>
        <v/>
      </c>
      <c r="G361" s="218"/>
      <c r="H361" s="217" t="str">
        <f t="shared" si="81"/>
        <v/>
      </c>
      <c r="I361" s="218"/>
      <c r="J361" s="217" t="str">
        <f t="shared" si="82"/>
        <v/>
      </c>
      <c r="K361" s="218"/>
    </row>
    <row r="362" spans="1:11" x14ac:dyDescent="0.15">
      <c r="A362" s="81"/>
      <c r="B362" s="217">
        <f t="shared" si="78"/>
        <v>0</v>
      </c>
      <c r="C362" s="218"/>
      <c r="D362" s="217" t="str">
        <f t="shared" si="79"/>
        <v/>
      </c>
      <c r="E362" s="218"/>
      <c r="F362" s="217" t="str">
        <f t="shared" si="80"/>
        <v/>
      </c>
      <c r="G362" s="218"/>
      <c r="H362" s="217" t="str">
        <f t="shared" si="81"/>
        <v/>
      </c>
      <c r="I362" s="218"/>
      <c r="J362" s="217" t="str">
        <f t="shared" si="82"/>
        <v/>
      </c>
      <c r="K362" s="218"/>
    </row>
    <row r="363" spans="1:11" x14ac:dyDescent="0.15">
      <c r="A363" s="81"/>
      <c r="B363" s="217">
        <f t="shared" si="78"/>
        <v>0</v>
      </c>
      <c r="C363" s="218"/>
      <c r="D363" s="217" t="str">
        <f t="shared" si="79"/>
        <v/>
      </c>
      <c r="E363" s="218"/>
      <c r="F363" s="217" t="str">
        <f t="shared" si="80"/>
        <v/>
      </c>
      <c r="G363" s="218"/>
      <c r="H363" s="217" t="str">
        <f t="shared" si="81"/>
        <v/>
      </c>
      <c r="I363" s="218"/>
      <c r="J363" s="217" t="str">
        <f t="shared" si="82"/>
        <v/>
      </c>
      <c r="K363" s="218"/>
    </row>
    <row r="364" spans="1:11" x14ac:dyDescent="0.15">
      <c r="A364" s="81"/>
      <c r="B364" s="217">
        <f t="shared" si="78"/>
        <v>0</v>
      </c>
      <c r="C364" s="218"/>
      <c r="D364" s="217" t="str">
        <f t="shared" si="79"/>
        <v/>
      </c>
      <c r="E364" s="218"/>
      <c r="F364" s="217" t="str">
        <f t="shared" si="80"/>
        <v/>
      </c>
      <c r="G364" s="218"/>
      <c r="H364" s="217" t="str">
        <f t="shared" si="81"/>
        <v/>
      </c>
      <c r="I364" s="218"/>
      <c r="J364" s="217" t="str">
        <f t="shared" si="82"/>
        <v/>
      </c>
      <c r="K364" s="218"/>
    </row>
    <row r="365" spans="1:11" x14ac:dyDescent="0.15">
      <c r="A365" s="81"/>
      <c r="B365" s="217">
        <f t="shared" si="78"/>
        <v>0</v>
      </c>
      <c r="C365" s="218"/>
      <c r="D365" s="217" t="str">
        <f t="shared" si="79"/>
        <v/>
      </c>
      <c r="E365" s="218"/>
      <c r="F365" s="217" t="str">
        <f t="shared" si="80"/>
        <v/>
      </c>
      <c r="G365" s="218"/>
      <c r="H365" s="217" t="str">
        <f t="shared" si="81"/>
        <v/>
      </c>
      <c r="I365" s="218"/>
      <c r="J365" s="217" t="str">
        <f t="shared" si="82"/>
        <v/>
      </c>
      <c r="K365" s="218"/>
    </row>
    <row r="366" spans="1:11" x14ac:dyDescent="0.15">
      <c r="A366" s="81"/>
      <c r="B366" s="217">
        <f t="shared" si="78"/>
        <v>0</v>
      </c>
      <c r="C366" s="218"/>
      <c r="D366" s="217" t="str">
        <f t="shared" si="79"/>
        <v/>
      </c>
      <c r="E366" s="218"/>
      <c r="F366" s="217" t="str">
        <f t="shared" si="80"/>
        <v/>
      </c>
      <c r="G366" s="218"/>
      <c r="H366" s="217" t="str">
        <f t="shared" si="81"/>
        <v/>
      </c>
      <c r="I366" s="218"/>
      <c r="J366" s="217" t="str">
        <f t="shared" si="82"/>
        <v/>
      </c>
      <c r="K366" s="218"/>
    </row>
    <row r="367" spans="1:11" x14ac:dyDescent="0.15">
      <c r="A367" s="81"/>
      <c r="B367" s="217">
        <f t="shared" si="78"/>
        <v>0</v>
      </c>
      <c r="C367" s="218"/>
      <c r="D367" s="217" t="str">
        <f t="shared" si="79"/>
        <v/>
      </c>
      <c r="E367" s="218"/>
      <c r="F367" s="217" t="str">
        <f t="shared" si="80"/>
        <v/>
      </c>
      <c r="G367" s="218"/>
      <c r="H367" s="217" t="str">
        <f t="shared" si="81"/>
        <v/>
      </c>
      <c r="I367" s="218"/>
      <c r="J367" s="217" t="str">
        <f t="shared" si="82"/>
        <v/>
      </c>
      <c r="K367" s="218"/>
    </row>
    <row r="368" spans="1:11" x14ac:dyDescent="0.15">
      <c r="A368" s="81"/>
      <c r="B368" s="217">
        <f t="shared" si="78"/>
        <v>0</v>
      </c>
      <c r="C368" s="218"/>
      <c r="D368" s="217" t="str">
        <f t="shared" si="79"/>
        <v/>
      </c>
      <c r="E368" s="218"/>
      <c r="F368" s="217" t="str">
        <f t="shared" si="80"/>
        <v/>
      </c>
      <c r="G368" s="218"/>
      <c r="H368" s="217" t="str">
        <f t="shared" si="81"/>
        <v/>
      </c>
      <c r="I368" s="218"/>
      <c r="J368" s="217" t="str">
        <f t="shared" si="82"/>
        <v/>
      </c>
      <c r="K368" s="218"/>
    </row>
    <row r="369" spans="1:11" x14ac:dyDescent="0.15">
      <c r="A369" s="81"/>
      <c r="B369" s="217">
        <f t="shared" si="78"/>
        <v>0</v>
      </c>
      <c r="C369" s="218"/>
      <c r="D369" s="217" t="str">
        <f t="shared" si="79"/>
        <v/>
      </c>
      <c r="E369" s="218"/>
      <c r="F369" s="217" t="str">
        <f t="shared" si="80"/>
        <v/>
      </c>
      <c r="G369" s="218"/>
      <c r="H369" s="217" t="str">
        <f t="shared" si="81"/>
        <v/>
      </c>
      <c r="I369" s="218"/>
      <c r="J369" s="217" t="str">
        <f t="shared" si="82"/>
        <v/>
      </c>
      <c r="K369" s="218"/>
    </row>
    <row r="370" spans="1:11" x14ac:dyDescent="0.15">
      <c r="A370" s="81"/>
      <c r="B370" s="217">
        <f t="shared" si="78"/>
        <v>0</v>
      </c>
      <c r="C370" s="218"/>
      <c r="D370" s="217" t="str">
        <f t="shared" si="79"/>
        <v/>
      </c>
      <c r="E370" s="218"/>
      <c r="F370" s="217" t="str">
        <f t="shared" si="80"/>
        <v/>
      </c>
      <c r="G370" s="218"/>
      <c r="H370" s="217" t="str">
        <f t="shared" si="81"/>
        <v/>
      </c>
      <c r="I370" s="218"/>
      <c r="J370" s="217" t="str">
        <f t="shared" si="82"/>
        <v/>
      </c>
      <c r="K370" s="218"/>
    </row>
    <row r="371" spans="1:11" x14ac:dyDescent="0.15">
      <c r="A371" s="81"/>
      <c r="B371" s="217">
        <f t="shared" si="78"/>
        <v>0</v>
      </c>
      <c r="C371" s="218"/>
      <c r="D371" s="217" t="str">
        <f t="shared" si="79"/>
        <v/>
      </c>
      <c r="E371" s="218"/>
      <c r="F371" s="217" t="str">
        <f t="shared" si="80"/>
        <v/>
      </c>
      <c r="G371" s="218"/>
      <c r="H371" s="217" t="str">
        <f t="shared" si="81"/>
        <v/>
      </c>
      <c r="I371" s="218"/>
      <c r="J371" s="217" t="str">
        <f t="shared" si="82"/>
        <v/>
      </c>
      <c r="K371" s="218"/>
    </row>
    <row r="372" spans="1:11" x14ac:dyDescent="0.15">
      <c r="A372" s="81"/>
      <c r="B372" s="217">
        <f t="shared" si="78"/>
        <v>0</v>
      </c>
      <c r="C372" s="218"/>
      <c r="D372" s="217" t="str">
        <f t="shared" si="79"/>
        <v/>
      </c>
      <c r="E372" s="218"/>
      <c r="F372" s="217" t="str">
        <f t="shared" si="80"/>
        <v/>
      </c>
      <c r="G372" s="218"/>
      <c r="H372" s="217" t="str">
        <f t="shared" si="81"/>
        <v/>
      </c>
      <c r="I372" s="218"/>
      <c r="J372" s="217" t="str">
        <f t="shared" si="82"/>
        <v/>
      </c>
      <c r="K372" s="218"/>
    </row>
    <row r="373" spans="1:11" x14ac:dyDescent="0.15">
      <c r="A373" s="81"/>
      <c r="B373" s="217">
        <f t="shared" si="78"/>
        <v>0</v>
      </c>
      <c r="C373" s="218"/>
      <c r="D373" s="217" t="str">
        <f t="shared" si="79"/>
        <v/>
      </c>
      <c r="E373" s="218"/>
      <c r="F373" s="217" t="str">
        <f t="shared" si="80"/>
        <v/>
      </c>
      <c r="G373" s="218"/>
      <c r="H373" s="217" t="str">
        <f t="shared" si="81"/>
        <v/>
      </c>
      <c r="I373" s="218"/>
      <c r="J373" s="217" t="str">
        <f t="shared" si="82"/>
        <v/>
      </c>
      <c r="K373" s="218"/>
    </row>
    <row r="374" spans="1:11" x14ac:dyDescent="0.15">
      <c r="A374" s="81"/>
      <c r="B374" s="217">
        <f t="shared" si="78"/>
        <v>0</v>
      </c>
      <c r="C374" s="218"/>
      <c r="D374" s="217" t="str">
        <f t="shared" si="79"/>
        <v/>
      </c>
      <c r="E374" s="218"/>
      <c r="F374" s="217" t="str">
        <f t="shared" si="80"/>
        <v/>
      </c>
      <c r="G374" s="218"/>
      <c r="H374" s="217" t="str">
        <f t="shared" si="81"/>
        <v/>
      </c>
      <c r="I374" s="218"/>
      <c r="J374" s="217" t="str">
        <f t="shared" si="82"/>
        <v/>
      </c>
      <c r="K374" s="218"/>
    </row>
    <row r="375" spans="1:11" x14ac:dyDescent="0.15">
      <c r="A375" s="81"/>
      <c r="B375" s="217">
        <f t="shared" si="78"/>
        <v>0</v>
      </c>
      <c r="C375" s="218"/>
      <c r="D375" s="217" t="str">
        <f t="shared" si="79"/>
        <v/>
      </c>
      <c r="E375" s="218"/>
      <c r="F375" s="217" t="str">
        <f t="shared" si="80"/>
        <v/>
      </c>
      <c r="G375" s="218"/>
      <c r="H375" s="217" t="str">
        <f t="shared" si="81"/>
        <v/>
      </c>
      <c r="I375" s="218"/>
      <c r="J375" s="217" t="str">
        <f t="shared" si="82"/>
        <v/>
      </c>
      <c r="K375" s="218"/>
    </row>
    <row r="376" spans="1:11" x14ac:dyDescent="0.15">
      <c r="A376" s="81"/>
      <c r="B376" s="217">
        <f t="shared" si="78"/>
        <v>0</v>
      </c>
      <c r="C376" s="218"/>
      <c r="D376" s="217" t="str">
        <f t="shared" si="79"/>
        <v/>
      </c>
      <c r="E376" s="218"/>
      <c r="F376" s="217" t="str">
        <f t="shared" si="80"/>
        <v/>
      </c>
      <c r="G376" s="218"/>
      <c r="H376" s="217" t="str">
        <f t="shared" si="81"/>
        <v/>
      </c>
      <c r="I376" s="218"/>
      <c r="J376" s="217" t="str">
        <f t="shared" si="82"/>
        <v/>
      </c>
      <c r="K376" s="218"/>
    </row>
    <row r="377" spans="1:11" x14ac:dyDescent="0.15">
      <c r="A377" s="81"/>
      <c r="B377" s="217">
        <f t="shared" si="78"/>
        <v>0</v>
      </c>
      <c r="C377" s="218"/>
      <c r="D377" s="217" t="str">
        <f t="shared" si="79"/>
        <v/>
      </c>
      <c r="E377" s="218"/>
      <c r="F377" s="217" t="str">
        <f t="shared" si="80"/>
        <v/>
      </c>
      <c r="G377" s="218"/>
      <c r="H377" s="217" t="str">
        <f t="shared" si="81"/>
        <v/>
      </c>
      <c r="I377" s="218"/>
      <c r="J377" s="217" t="str">
        <f t="shared" si="82"/>
        <v/>
      </c>
      <c r="K377" s="218"/>
    </row>
    <row r="379" spans="1:11" x14ac:dyDescent="0.15">
      <c r="A379" s="79" t="s">
        <v>169</v>
      </c>
      <c r="B379" s="219" t="s">
        <v>129</v>
      </c>
      <c r="C379" s="219"/>
      <c r="D379" s="219" t="s">
        <v>130</v>
      </c>
      <c r="E379" s="219"/>
      <c r="F379" s="219" t="s">
        <v>131</v>
      </c>
      <c r="G379" s="219"/>
      <c r="H379" s="219" t="s">
        <v>134</v>
      </c>
      <c r="I379" s="219"/>
      <c r="J379" s="219" t="s">
        <v>132</v>
      </c>
      <c r="K379" s="219"/>
    </row>
    <row r="380" spans="1:11" x14ac:dyDescent="0.15">
      <c r="A380" s="81"/>
      <c r="B380" s="217">
        <f>IF(B328="","",B328/12*11)</f>
        <v>174166.66666666669</v>
      </c>
      <c r="C380" s="218"/>
      <c r="D380" s="217" t="str">
        <f>IF(D328="","",D328/12*11)</f>
        <v/>
      </c>
      <c r="E380" s="218"/>
      <c r="F380" s="217" t="str">
        <f>IF(F328="","",F328/12*11)</f>
        <v/>
      </c>
      <c r="G380" s="218"/>
      <c r="H380" s="217" t="str">
        <f>IF(H328="","",H328/12*11)</f>
        <v/>
      </c>
      <c r="I380" s="218"/>
      <c r="J380" s="217" t="str">
        <f>IF(J328="","",J328/12*11)</f>
        <v/>
      </c>
      <c r="K380" s="218"/>
    </row>
    <row r="381" spans="1:11" x14ac:dyDescent="0.15">
      <c r="A381" s="81"/>
      <c r="B381" s="217">
        <f t="shared" ref="B381:B403" si="83">IF(B329="","",B329/12*11)</f>
        <v>68750</v>
      </c>
      <c r="C381" s="218"/>
      <c r="D381" s="217" t="str">
        <f t="shared" ref="D381:D403" si="84">IF(D329="","",D329/12*11)</f>
        <v/>
      </c>
      <c r="E381" s="218"/>
      <c r="F381" s="217" t="str">
        <f t="shared" ref="F381:F403" si="85">IF(F329="","",F329/12*11)</f>
        <v/>
      </c>
      <c r="G381" s="218"/>
      <c r="H381" s="217" t="str">
        <f t="shared" ref="H381:H403" si="86">IF(H329="","",H329/12*11)</f>
        <v/>
      </c>
      <c r="I381" s="218"/>
      <c r="J381" s="217" t="str">
        <f t="shared" ref="J381:J403" si="87">IF(J329="","",J329/12*11)</f>
        <v/>
      </c>
      <c r="K381" s="218"/>
    </row>
    <row r="382" spans="1:11" x14ac:dyDescent="0.15">
      <c r="A382" s="81"/>
      <c r="B382" s="217">
        <f t="shared" si="83"/>
        <v>45833.333333333336</v>
      </c>
      <c r="C382" s="218"/>
      <c r="D382" s="217" t="str">
        <f t="shared" si="84"/>
        <v/>
      </c>
      <c r="E382" s="218"/>
      <c r="F382" s="217" t="str">
        <f t="shared" si="85"/>
        <v/>
      </c>
      <c r="G382" s="218"/>
      <c r="H382" s="217" t="str">
        <f t="shared" si="86"/>
        <v/>
      </c>
      <c r="I382" s="218"/>
      <c r="J382" s="217" t="str">
        <f t="shared" si="87"/>
        <v/>
      </c>
      <c r="K382" s="218"/>
    </row>
    <row r="383" spans="1:11" x14ac:dyDescent="0.15">
      <c r="A383" s="81"/>
      <c r="B383" s="217">
        <f t="shared" si="83"/>
        <v>22916.666666666668</v>
      </c>
      <c r="C383" s="218"/>
      <c r="D383" s="217" t="str">
        <f t="shared" si="84"/>
        <v/>
      </c>
      <c r="E383" s="218"/>
      <c r="F383" s="217" t="str">
        <f t="shared" si="85"/>
        <v/>
      </c>
      <c r="G383" s="218"/>
      <c r="H383" s="217" t="str">
        <f t="shared" si="86"/>
        <v/>
      </c>
      <c r="I383" s="218"/>
      <c r="J383" s="217" t="str">
        <f t="shared" si="87"/>
        <v/>
      </c>
      <c r="K383" s="218"/>
    </row>
    <row r="384" spans="1:11" x14ac:dyDescent="0.15">
      <c r="A384" s="81"/>
      <c r="B384" s="217">
        <f t="shared" si="83"/>
        <v>0</v>
      </c>
      <c r="C384" s="218"/>
      <c r="D384" s="217" t="str">
        <f t="shared" si="84"/>
        <v/>
      </c>
      <c r="E384" s="218"/>
      <c r="F384" s="217" t="str">
        <f t="shared" si="85"/>
        <v/>
      </c>
      <c r="G384" s="218"/>
      <c r="H384" s="217" t="str">
        <f t="shared" si="86"/>
        <v/>
      </c>
      <c r="I384" s="218"/>
      <c r="J384" s="217" t="str">
        <f t="shared" si="87"/>
        <v/>
      </c>
      <c r="K384" s="218"/>
    </row>
    <row r="385" spans="1:11" x14ac:dyDescent="0.15">
      <c r="A385" s="81"/>
      <c r="B385" s="217">
        <f t="shared" si="83"/>
        <v>0</v>
      </c>
      <c r="C385" s="218"/>
      <c r="D385" s="217" t="str">
        <f t="shared" si="84"/>
        <v/>
      </c>
      <c r="E385" s="218"/>
      <c r="F385" s="217" t="str">
        <f t="shared" si="85"/>
        <v/>
      </c>
      <c r="G385" s="218"/>
      <c r="H385" s="217" t="str">
        <f t="shared" si="86"/>
        <v/>
      </c>
      <c r="I385" s="218"/>
      <c r="J385" s="217" t="str">
        <f t="shared" si="87"/>
        <v/>
      </c>
      <c r="K385" s="218"/>
    </row>
    <row r="386" spans="1:11" x14ac:dyDescent="0.15">
      <c r="A386" s="81"/>
      <c r="B386" s="217">
        <f t="shared" si="83"/>
        <v>0</v>
      </c>
      <c r="C386" s="218"/>
      <c r="D386" s="217" t="str">
        <f t="shared" si="84"/>
        <v/>
      </c>
      <c r="E386" s="218"/>
      <c r="F386" s="217" t="str">
        <f t="shared" si="85"/>
        <v/>
      </c>
      <c r="G386" s="218"/>
      <c r="H386" s="217" t="str">
        <f t="shared" si="86"/>
        <v/>
      </c>
      <c r="I386" s="218"/>
      <c r="J386" s="217" t="str">
        <f t="shared" si="87"/>
        <v/>
      </c>
      <c r="K386" s="218"/>
    </row>
    <row r="387" spans="1:11" x14ac:dyDescent="0.15">
      <c r="A387" s="81"/>
      <c r="B387" s="217">
        <f t="shared" si="83"/>
        <v>0</v>
      </c>
      <c r="C387" s="218"/>
      <c r="D387" s="217" t="str">
        <f t="shared" si="84"/>
        <v/>
      </c>
      <c r="E387" s="218"/>
      <c r="F387" s="217" t="str">
        <f t="shared" si="85"/>
        <v/>
      </c>
      <c r="G387" s="218"/>
      <c r="H387" s="217" t="str">
        <f t="shared" si="86"/>
        <v/>
      </c>
      <c r="I387" s="218"/>
      <c r="J387" s="217" t="str">
        <f t="shared" si="87"/>
        <v/>
      </c>
      <c r="K387" s="218"/>
    </row>
    <row r="388" spans="1:11" x14ac:dyDescent="0.15">
      <c r="A388" s="81"/>
      <c r="B388" s="217">
        <f t="shared" si="83"/>
        <v>0</v>
      </c>
      <c r="C388" s="218"/>
      <c r="D388" s="217" t="str">
        <f t="shared" si="84"/>
        <v/>
      </c>
      <c r="E388" s="218"/>
      <c r="F388" s="217" t="str">
        <f t="shared" si="85"/>
        <v/>
      </c>
      <c r="G388" s="218"/>
      <c r="H388" s="217" t="str">
        <f t="shared" si="86"/>
        <v/>
      </c>
      <c r="I388" s="218"/>
      <c r="J388" s="217" t="str">
        <f t="shared" si="87"/>
        <v/>
      </c>
      <c r="K388" s="218"/>
    </row>
    <row r="389" spans="1:11" x14ac:dyDescent="0.15">
      <c r="A389" s="81"/>
      <c r="B389" s="217">
        <f t="shared" si="83"/>
        <v>0</v>
      </c>
      <c r="C389" s="218"/>
      <c r="D389" s="217" t="str">
        <f t="shared" si="84"/>
        <v/>
      </c>
      <c r="E389" s="218"/>
      <c r="F389" s="217" t="str">
        <f t="shared" si="85"/>
        <v/>
      </c>
      <c r="G389" s="218"/>
      <c r="H389" s="217" t="str">
        <f t="shared" si="86"/>
        <v/>
      </c>
      <c r="I389" s="218"/>
      <c r="J389" s="217" t="str">
        <f t="shared" si="87"/>
        <v/>
      </c>
      <c r="K389" s="218"/>
    </row>
    <row r="390" spans="1:11" x14ac:dyDescent="0.15">
      <c r="A390" s="81"/>
      <c r="B390" s="217">
        <f t="shared" si="83"/>
        <v>0</v>
      </c>
      <c r="C390" s="218"/>
      <c r="D390" s="217" t="str">
        <f t="shared" si="84"/>
        <v/>
      </c>
      <c r="E390" s="218"/>
      <c r="F390" s="217" t="str">
        <f t="shared" si="85"/>
        <v/>
      </c>
      <c r="G390" s="218"/>
      <c r="H390" s="217" t="str">
        <f t="shared" si="86"/>
        <v/>
      </c>
      <c r="I390" s="218"/>
      <c r="J390" s="217" t="str">
        <f t="shared" si="87"/>
        <v/>
      </c>
      <c r="K390" s="218"/>
    </row>
    <row r="391" spans="1:11" x14ac:dyDescent="0.15">
      <c r="A391" s="81"/>
      <c r="B391" s="217">
        <f t="shared" si="83"/>
        <v>0</v>
      </c>
      <c r="C391" s="218"/>
      <c r="D391" s="217" t="str">
        <f t="shared" si="84"/>
        <v/>
      </c>
      <c r="E391" s="218"/>
      <c r="F391" s="217" t="str">
        <f t="shared" si="85"/>
        <v/>
      </c>
      <c r="G391" s="218"/>
      <c r="H391" s="217" t="str">
        <f t="shared" si="86"/>
        <v/>
      </c>
      <c r="I391" s="218"/>
      <c r="J391" s="217" t="str">
        <f t="shared" si="87"/>
        <v/>
      </c>
      <c r="K391" s="218"/>
    </row>
    <row r="392" spans="1:11" x14ac:dyDescent="0.15">
      <c r="A392" s="81"/>
      <c r="B392" s="217">
        <f t="shared" si="83"/>
        <v>0</v>
      </c>
      <c r="C392" s="218"/>
      <c r="D392" s="217" t="str">
        <f t="shared" si="84"/>
        <v/>
      </c>
      <c r="E392" s="218"/>
      <c r="F392" s="217" t="str">
        <f t="shared" si="85"/>
        <v/>
      </c>
      <c r="G392" s="218"/>
      <c r="H392" s="217" t="str">
        <f t="shared" si="86"/>
        <v/>
      </c>
      <c r="I392" s="218"/>
      <c r="J392" s="217" t="str">
        <f t="shared" si="87"/>
        <v/>
      </c>
      <c r="K392" s="218"/>
    </row>
    <row r="393" spans="1:11" x14ac:dyDescent="0.15">
      <c r="A393" s="81"/>
      <c r="B393" s="217">
        <f t="shared" si="83"/>
        <v>0</v>
      </c>
      <c r="C393" s="218"/>
      <c r="D393" s="217" t="str">
        <f t="shared" si="84"/>
        <v/>
      </c>
      <c r="E393" s="218"/>
      <c r="F393" s="217" t="str">
        <f t="shared" si="85"/>
        <v/>
      </c>
      <c r="G393" s="218"/>
      <c r="H393" s="217" t="str">
        <f t="shared" si="86"/>
        <v/>
      </c>
      <c r="I393" s="218"/>
      <c r="J393" s="217" t="str">
        <f t="shared" si="87"/>
        <v/>
      </c>
      <c r="K393" s="218"/>
    </row>
    <row r="394" spans="1:11" x14ac:dyDescent="0.15">
      <c r="A394" s="81"/>
      <c r="B394" s="217">
        <f t="shared" si="83"/>
        <v>0</v>
      </c>
      <c r="C394" s="218"/>
      <c r="D394" s="217" t="str">
        <f t="shared" si="84"/>
        <v/>
      </c>
      <c r="E394" s="218"/>
      <c r="F394" s="217" t="str">
        <f t="shared" si="85"/>
        <v/>
      </c>
      <c r="G394" s="218"/>
      <c r="H394" s="217" t="str">
        <f t="shared" si="86"/>
        <v/>
      </c>
      <c r="I394" s="218"/>
      <c r="J394" s="217" t="str">
        <f t="shared" si="87"/>
        <v/>
      </c>
      <c r="K394" s="218"/>
    </row>
    <row r="395" spans="1:11" x14ac:dyDescent="0.15">
      <c r="A395" s="81"/>
      <c r="B395" s="217">
        <f t="shared" si="83"/>
        <v>0</v>
      </c>
      <c r="C395" s="218"/>
      <c r="D395" s="217" t="str">
        <f t="shared" si="84"/>
        <v/>
      </c>
      <c r="E395" s="218"/>
      <c r="F395" s="217" t="str">
        <f t="shared" si="85"/>
        <v/>
      </c>
      <c r="G395" s="218"/>
      <c r="H395" s="217" t="str">
        <f t="shared" si="86"/>
        <v/>
      </c>
      <c r="I395" s="218"/>
      <c r="J395" s="217" t="str">
        <f t="shared" si="87"/>
        <v/>
      </c>
      <c r="K395" s="218"/>
    </row>
    <row r="396" spans="1:11" x14ac:dyDescent="0.15">
      <c r="A396" s="81"/>
      <c r="B396" s="217">
        <f t="shared" si="83"/>
        <v>0</v>
      </c>
      <c r="C396" s="218"/>
      <c r="D396" s="217" t="str">
        <f t="shared" si="84"/>
        <v/>
      </c>
      <c r="E396" s="218"/>
      <c r="F396" s="217" t="str">
        <f t="shared" si="85"/>
        <v/>
      </c>
      <c r="G396" s="218"/>
      <c r="H396" s="217" t="str">
        <f t="shared" si="86"/>
        <v/>
      </c>
      <c r="I396" s="218"/>
      <c r="J396" s="217" t="str">
        <f t="shared" si="87"/>
        <v/>
      </c>
      <c r="K396" s="218"/>
    </row>
    <row r="397" spans="1:11" x14ac:dyDescent="0.15">
      <c r="A397" s="81"/>
      <c r="B397" s="217">
        <f t="shared" si="83"/>
        <v>0</v>
      </c>
      <c r="C397" s="218"/>
      <c r="D397" s="217" t="str">
        <f t="shared" si="84"/>
        <v/>
      </c>
      <c r="E397" s="218"/>
      <c r="F397" s="217" t="str">
        <f t="shared" si="85"/>
        <v/>
      </c>
      <c r="G397" s="218"/>
      <c r="H397" s="217" t="str">
        <f t="shared" si="86"/>
        <v/>
      </c>
      <c r="I397" s="218"/>
      <c r="J397" s="217" t="str">
        <f t="shared" si="87"/>
        <v/>
      </c>
      <c r="K397" s="218"/>
    </row>
    <row r="398" spans="1:11" x14ac:dyDescent="0.15">
      <c r="A398" s="81"/>
      <c r="B398" s="217">
        <f t="shared" si="83"/>
        <v>0</v>
      </c>
      <c r="C398" s="218"/>
      <c r="D398" s="217" t="str">
        <f t="shared" si="84"/>
        <v/>
      </c>
      <c r="E398" s="218"/>
      <c r="F398" s="217" t="str">
        <f t="shared" si="85"/>
        <v/>
      </c>
      <c r="G398" s="218"/>
      <c r="H398" s="217" t="str">
        <f t="shared" si="86"/>
        <v/>
      </c>
      <c r="I398" s="218"/>
      <c r="J398" s="217" t="str">
        <f t="shared" si="87"/>
        <v/>
      </c>
      <c r="K398" s="218"/>
    </row>
    <row r="399" spans="1:11" x14ac:dyDescent="0.15">
      <c r="A399" s="81"/>
      <c r="B399" s="217">
        <f t="shared" si="83"/>
        <v>0</v>
      </c>
      <c r="C399" s="218"/>
      <c r="D399" s="217" t="str">
        <f t="shared" si="84"/>
        <v/>
      </c>
      <c r="E399" s="218"/>
      <c r="F399" s="217" t="str">
        <f t="shared" si="85"/>
        <v/>
      </c>
      <c r="G399" s="218"/>
      <c r="H399" s="217" t="str">
        <f t="shared" si="86"/>
        <v/>
      </c>
      <c r="I399" s="218"/>
      <c r="J399" s="217" t="str">
        <f t="shared" si="87"/>
        <v/>
      </c>
      <c r="K399" s="218"/>
    </row>
    <row r="400" spans="1:11" x14ac:dyDescent="0.15">
      <c r="A400" s="81"/>
      <c r="B400" s="217">
        <f t="shared" si="83"/>
        <v>0</v>
      </c>
      <c r="C400" s="218"/>
      <c r="D400" s="217" t="str">
        <f t="shared" si="84"/>
        <v/>
      </c>
      <c r="E400" s="218"/>
      <c r="F400" s="217" t="str">
        <f t="shared" si="85"/>
        <v/>
      </c>
      <c r="G400" s="218"/>
      <c r="H400" s="217" t="str">
        <f t="shared" si="86"/>
        <v/>
      </c>
      <c r="I400" s="218"/>
      <c r="J400" s="217" t="str">
        <f t="shared" si="87"/>
        <v/>
      </c>
      <c r="K400" s="218"/>
    </row>
    <row r="401" spans="1:11" x14ac:dyDescent="0.15">
      <c r="A401" s="81"/>
      <c r="B401" s="217">
        <f t="shared" si="83"/>
        <v>0</v>
      </c>
      <c r="C401" s="218"/>
      <c r="D401" s="217" t="str">
        <f t="shared" si="84"/>
        <v/>
      </c>
      <c r="E401" s="218"/>
      <c r="F401" s="217" t="str">
        <f t="shared" si="85"/>
        <v/>
      </c>
      <c r="G401" s="218"/>
      <c r="H401" s="217" t="str">
        <f t="shared" si="86"/>
        <v/>
      </c>
      <c r="I401" s="218"/>
      <c r="J401" s="217" t="str">
        <f t="shared" si="87"/>
        <v/>
      </c>
      <c r="K401" s="218"/>
    </row>
    <row r="402" spans="1:11" x14ac:dyDescent="0.15">
      <c r="A402" s="81"/>
      <c r="B402" s="217">
        <f t="shared" si="83"/>
        <v>0</v>
      </c>
      <c r="C402" s="218"/>
      <c r="D402" s="217" t="str">
        <f t="shared" si="84"/>
        <v/>
      </c>
      <c r="E402" s="218"/>
      <c r="F402" s="217" t="str">
        <f t="shared" si="85"/>
        <v/>
      </c>
      <c r="G402" s="218"/>
      <c r="H402" s="217" t="str">
        <f t="shared" si="86"/>
        <v/>
      </c>
      <c r="I402" s="218"/>
      <c r="J402" s="217" t="str">
        <f t="shared" si="87"/>
        <v/>
      </c>
      <c r="K402" s="218"/>
    </row>
    <row r="403" spans="1:11" x14ac:dyDescent="0.15">
      <c r="A403" s="81"/>
      <c r="B403" s="217">
        <f t="shared" si="83"/>
        <v>0</v>
      </c>
      <c r="C403" s="218"/>
      <c r="D403" s="217" t="str">
        <f t="shared" si="84"/>
        <v/>
      </c>
      <c r="E403" s="218"/>
      <c r="F403" s="217" t="str">
        <f t="shared" si="85"/>
        <v/>
      </c>
      <c r="G403" s="218"/>
      <c r="H403" s="217" t="str">
        <f t="shared" si="86"/>
        <v/>
      </c>
      <c r="I403" s="218"/>
      <c r="J403" s="217" t="str">
        <f t="shared" si="87"/>
        <v/>
      </c>
      <c r="K403" s="218"/>
    </row>
  </sheetData>
  <mergeCells count="678">
    <mergeCell ref="A210:A211"/>
    <mergeCell ref="B210:D210"/>
    <mergeCell ref="B211:D211"/>
    <mergeCell ref="A212:A213"/>
    <mergeCell ref="B212:D212"/>
    <mergeCell ref="B213:D213"/>
    <mergeCell ref="B45:C45"/>
    <mergeCell ref="D45:E45"/>
    <mergeCell ref="F45:G45"/>
    <mergeCell ref="B84:C84"/>
    <mergeCell ref="D84:E84"/>
    <mergeCell ref="F84:G84"/>
    <mergeCell ref="A206:A207"/>
    <mergeCell ref="A208:A209"/>
    <mergeCell ref="J95:K95"/>
    <mergeCell ref="H95:I95"/>
    <mergeCell ref="J84:K84"/>
    <mergeCell ref="H84:I84"/>
    <mergeCell ref="J45:K45"/>
    <mergeCell ref="H45:I45"/>
    <mergeCell ref="B95:C95"/>
    <mergeCell ref="D95:E95"/>
    <mergeCell ref="F95:G95"/>
    <mergeCell ref="H99:I99"/>
    <mergeCell ref="J99:K99"/>
    <mergeCell ref="B98:C98"/>
    <mergeCell ref="D98:E98"/>
    <mergeCell ref="F98:G98"/>
    <mergeCell ref="H98:I98"/>
    <mergeCell ref="J98:K98"/>
    <mergeCell ref="D217:E217"/>
    <mergeCell ref="F217:G217"/>
    <mergeCell ref="H217:I217"/>
    <mergeCell ref="J217:K217"/>
    <mergeCell ref="B217:C217"/>
    <mergeCell ref="A136:B136"/>
    <mergeCell ref="A154:B154"/>
    <mergeCell ref="B99:C99"/>
    <mergeCell ref="D99:E99"/>
    <mergeCell ref="F99:G99"/>
    <mergeCell ref="B204:D204"/>
    <mergeCell ref="B205:D205"/>
    <mergeCell ref="B206:D206"/>
    <mergeCell ref="B207:D207"/>
    <mergeCell ref="B208:D208"/>
    <mergeCell ref="B209:D209"/>
    <mergeCell ref="A204:A205"/>
    <mergeCell ref="B274:C274"/>
    <mergeCell ref="D274:E274"/>
    <mergeCell ref="F274:G274"/>
    <mergeCell ref="H274:I274"/>
    <mergeCell ref="J274:K274"/>
    <mergeCell ref="B246:C246"/>
    <mergeCell ref="D246:E246"/>
    <mergeCell ref="F246:G246"/>
    <mergeCell ref="H246:I246"/>
    <mergeCell ref="J246:K246"/>
    <mergeCell ref="B280:C280"/>
    <mergeCell ref="B281:C281"/>
    <mergeCell ref="B282:C282"/>
    <mergeCell ref="B283:C283"/>
    <mergeCell ref="B284:C284"/>
    <mergeCell ref="B275:C275"/>
    <mergeCell ref="B276:C276"/>
    <mergeCell ref="B277:C277"/>
    <mergeCell ref="B278:C278"/>
    <mergeCell ref="B279:C27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D280:E280"/>
    <mergeCell ref="D281:E281"/>
    <mergeCell ref="D282:E282"/>
    <mergeCell ref="D283:E283"/>
    <mergeCell ref="D284:E284"/>
    <mergeCell ref="D275:E275"/>
    <mergeCell ref="D276:E276"/>
    <mergeCell ref="D277:E277"/>
    <mergeCell ref="D278:E278"/>
    <mergeCell ref="D279:E279"/>
    <mergeCell ref="D290:E290"/>
    <mergeCell ref="D291:E291"/>
    <mergeCell ref="D292:E292"/>
    <mergeCell ref="D293:E293"/>
    <mergeCell ref="D294:E294"/>
    <mergeCell ref="D285:E285"/>
    <mergeCell ref="D286:E286"/>
    <mergeCell ref="D287:E287"/>
    <mergeCell ref="D288:E288"/>
    <mergeCell ref="D289:E289"/>
    <mergeCell ref="F290:G290"/>
    <mergeCell ref="F291:G291"/>
    <mergeCell ref="F292:G292"/>
    <mergeCell ref="F293:G293"/>
    <mergeCell ref="F294:G294"/>
    <mergeCell ref="D300:E300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D295:E295"/>
    <mergeCell ref="D296:E296"/>
    <mergeCell ref="D297:E297"/>
    <mergeCell ref="H280:I280"/>
    <mergeCell ref="H281:I281"/>
    <mergeCell ref="H282:I282"/>
    <mergeCell ref="H283:I283"/>
    <mergeCell ref="H284:I284"/>
    <mergeCell ref="H275:I275"/>
    <mergeCell ref="H276:I276"/>
    <mergeCell ref="H277:I277"/>
    <mergeCell ref="H278:I278"/>
    <mergeCell ref="H279:I279"/>
    <mergeCell ref="H290:I290"/>
    <mergeCell ref="H291:I291"/>
    <mergeCell ref="H292:I292"/>
    <mergeCell ref="H293:I293"/>
    <mergeCell ref="H294:I294"/>
    <mergeCell ref="H285:I285"/>
    <mergeCell ref="H286:I286"/>
    <mergeCell ref="H287:I287"/>
    <mergeCell ref="H288:I288"/>
    <mergeCell ref="H289:I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02:K302"/>
    <mergeCell ref="F302:G302"/>
    <mergeCell ref="H302:I302"/>
    <mergeCell ref="B302:C302"/>
    <mergeCell ref="D302:E302"/>
    <mergeCell ref="J295:K295"/>
    <mergeCell ref="J296:K296"/>
    <mergeCell ref="J297:K297"/>
    <mergeCell ref="J298:K298"/>
    <mergeCell ref="H295:I295"/>
    <mergeCell ref="H296:I296"/>
    <mergeCell ref="H297:I297"/>
    <mergeCell ref="H298:I298"/>
    <mergeCell ref="F295:G295"/>
    <mergeCell ref="F296:G296"/>
    <mergeCell ref="F297:G297"/>
    <mergeCell ref="F298:G298"/>
    <mergeCell ref="D298:E298"/>
    <mergeCell ref="B295:C295"/>
    <mergeCell ref="B296:C296"/>
    <mergeCell ref="B297:C297"/>
    <mergeCell ref="B298:C298"/>
    <mergeCell ref="B300:C300"/>
    <mergeCell ref="F300:G300"/>
    <mergeCell ref="J303:K303"/>
    <mergeCell ref="J304:K304"/>
    <mergeCell ref="F303:G303"/>
    <mergeCell ref="H303:I303"/>
    <mergeCell ref="F304:G304"/>
    <mergeCell ref="H304:I304"/>
    <mergeCell ref="B303:C303"/>
    <mergeCell ref="D303:E303"/>
    <mergeCell ref="B304:C304"/>
    <mergeCell ref="D304:E304"/>
    <mergeCell ref="J305:K305"/>
    <mergeCell ref="J306:K306"/>
    <mergeCell ref="F305:G305"/>
    <mergeCell ref="H305:I305"/>
    <mergeCell ref="F306:G306"/>
    <mergeCell ref="H306:I306"/>
    <mergeCell ref="B305:C305"/>
    <mergeCell ref="D305:E305"/>
    <mergeCell ref="B306:C306"/>
    <mergeCell ref="D306:E306"/>
    <mergeCell ref="F309:G309"/>
    <mergeCell ref="H309:I309"/>
    <mergeCell ref="F310:G310"/>
    <mergeCell ref="H310:I310"/>
    <mergeCell ref="B309:C309"/>
    <mergeCell ref="D309:E309"/>
    <mergeCell ref="B310:C310"/>
    <mergeCell ref="D310:E310"/>
    <mergeCell ref="J307:K307"/>
    <mergeCell ref="J308:K308"/>
    <mergeCell ref="F307:G307"/>
    <mergeCell ref="H307:I307"/>
    <mergeCell ref="F308:G308"/>
    <mergeCell ref="H308:I308"/>
    <mergeCell ref="B307:C307"/>
    <mergeCell ref="D307:E307"/>
    <mergeCell ref="B308:C308"/>
    <mergeCell ref="D308:E308"/>
    <mergeCell ref="B313:C313"/>
    <mergeCell ref="D313:E313"/>
    <mergeCell ref="F313:G313"/>
    <mergeCell ref="H313:I313"/>
    <mergeCell ref="J313:K313"/>
    <mergeCell ref="H300:I300"/>
    <mergeCell ref="J300:K300"/>
    <mergeCell ref="B301:C301"/>
    <mergeCell ref="D301:E301"/>
    <mergeCell ref="F301:G301"/>
    <mergeCell ref="H301:I301"/>
    <mergeCell ref="J301:K301"/>
    <mergeCell ref="B312:C312"/>
    <mergeCell ref="D312:E312"/>
    <mergeCell ref="F312:G312"/>
    <mergeCell ref="H312:I312"/>
    <mergeCell ref="J312:K312"/>
    <mergeCell ref="B311:C311"/>
    <mergeCell ref="D311:E311"/>
    <mergeCell ref="F311:G311"/>
    <mergeCell ref="H311:I311"/>
    <mergeCell ref="J311:K311"/>
    <mergeCell ref="J309:K309"/>
    <mergeCell ref="J310:K310"/>
    <mergeCell ref="B315:C315"/>
    <mergeCell ref="D315:E315"/>
    <mergeCell ref="F315:G315"/>
    <mergeCell ref="H315:I315"/>
    <mergeCell ref="J315:K315"/>
    <mergeCell ref="B314:C314"/>
    <mergeCell ref="D314:E314"/>
    <mergeCell ref="F314:G314"/>
    <mergeCell ref="H314:I314"/>
    <mergeCell ref="J314:K314"/>
    <mergeCell ref="B317:C317"/>
    <mergeCell ref="D317:E317"/>
    <mergeCell ref="F317:G317"/>
    <mergeCell ref="H317:I317"/>
    <mergeCell ref="J317:K317"/>
    <mergeCell ref="B316:C316"/>
    <mergeCell ref="D316:E316"/>
    <mergeCell ref="F316:G316"/>
    <mergeCell ref="H316:I316"/>
    <mergeCell ref="J316:K316"/>
    <mergeCell ref="F320:G320"/>
    <mergeCell ref="H320:I320"/>
    <mergeCell ref="J320:K320"/>
    <mergeCell ref="B319:C319"/>
    <mergeCell ref="D319:E319"/>
    <mergeCell ref="F319:G319"/>
    <mergeCell ref="H319:I319"/>
    <mergeCell ref="J319:K319"/>
    <mergeCell ref="B318:C318"/>
    <mergeCell ref="D318:E318"/>
    <mergeCell ref="F318:G318"/>
    <mergeCell ref="H318:I318"/>
    <mergeCell ref="J318:K318"/>
    <mergeCell ref="B320:C320"/>
    <mergeCell ref="D320:E320"/>
    <mergeCell ref="B324:C324"/>
    <mergeCell ref="D324:E324"/>
    <mergeCell ref="F324:G324"/>
    <mergeCell ref="H324:I324"/>
    <mergeCell ref="J324:K324"/>
    <mergeCell ref="B323:C323"/>
    <mergeCell ref="D323:E323"/>
    <mergeCell ref="F323:G323"/>
    <mergeCell ref="H323:I323"/>
    <mergeCell ref="J323:K323"/>
    <mergeCell ref="B322:C322"/>
    <mergeCell ref="D322:E322"/>
    <mergeCell ref="F322:G322"/>
    <mergeCell ref="H322:I322"/>
    <mergeCell ref="J322:K322"/>
    <mergeCell ref="B321:C321"/>
    <mergeCell ref="D321:E321"/>
    <mergeCell ref="F321:G321"/>
    <mergeCell ref="H321:I321"/>
    <mergeCell ref="J321:K321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C16:G16"/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</mergeCells>
  <conditionalFormatting sqref="L35:M58">
    <cfRule type="expression" dxfId="15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851C26ED-17CC-478C-BABE-2CE8C2F925BA}">
            <xm:f>Request!$F$205&lt;&gt;$A$91</xm:f>
            <x14:dxf/>
          </x14:cfRule>
          <xm:sqref>M181:O181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O387"/>
  <sheetViews>
    <sheetView tabSelected="1" zoomScale="110" zoomScaleNormal="110" workbookViewId="0">
      <selection activeCell="U19" sqref="U18:U19"/>
    </sheetView>
  </sheetViews>
  <sheetFormatPr baseColWidth="10" defaultColWidth="8.83203125" defaultRowHeight="12" x14ac:dyDescent="0.15"/>
  <cols>
    <col min="1" max="1" width="3" style="39" customWidth="1"/>
    <col min="2" max="2" width="9.6640625" style="39" customWidth="1"/>
    <col min="3" max="3" width="11.1640625" style="39" customWidth="1"/>
    <col min="4" max="4" width="7.33203125" style="39" customWidth="1"/>
    <col min="5" max="5" width="8.6640625" style="39" customWidth="1"/>
    <col min="6" max="6" width="11.6640625" style="39" customWidth="1"/>
    <col min="7" max="7" width="0.5" style="39" customWidth="1"/>
    <col min="8" max="8" width="5.5" style="39" hidden="1" customWidth="1"/>
    <col min="9" max="9" width="4.6640625" style="39" hidden="1" customWidth="1"/>
    <col min="10" max="10" width="5.1640625" style="39" hidden="1" customWidth="1"/>
    <col min="11" max="11" width="4.83203125" style="39" bestFit="1" customWidth="1"/>
    <col min="12" max="12" width="10" style="39" customWidth="1"/>
    <col min="13" max="13" width="4.6640625" style="39" hidden="1" customWidth="1"/>
    <col min="14" max="14" width="18" style="39" customWidth="1"/>
    <col min="15" max="15" width="9.33203125" style="39" hidden="1" customWidth="1"/>
    <col min="16" max="17" width="10" style="39" hidden="1" customWidth="1"/>
    <col min="18" max="18" width="9.6640625" style="39" hidden="1" customWidth="1"/>
    <col min="19" max="19" width="10.5" style="39" hidden="1" customWidth="1"/>
    <col min="20" max="20" width="2.33203125" style="39" customWidth="1"/>
    <col min="21" max="21" width="14.33203125" style="39" customWidth="1"/>
    <col min="22" max="16384" width="8.83203125" style="39"/>
  </cols>
  <sheetData>
    <row r="8" spans="1:41" ht="13" thickBot="1" x14ac:dyDescent="0.2"/>
    <row r="9" spans="1:41" ht="13.25" customHeight="1" thickTop="1" thickBot="1" x14ac:dyDescent="0.2">
      <c r="A9" s="60"/>
      <c r="B9" s="103" t="s">
        <v>1</v>
      </c>
      <c r="C9" s="151">
        <v>43282</v>
      </c>
      <c r="D9" s="345" t="s">
        <v>187</v>
      </c>
      <c r="E9" s="346" t="s">
        <v>172</v>
      </c>
      <c r="F9" s="312"/>
      <c r="G9" s="313"/>
      <c r="H9" s="313"/>
      <c r="I9" s="313"/>
      <c r="J9" s="313"/>
      <c r="K9" s="313"/>
      <c r="L9" s="313"/>
      <c r="M9" s="313"/>
      <c r="N9" s="314"/>
      <c r="O9" s="255"/>
      <c r="P9" s="256"/>
      <c r="Q9" s="256"/>
      <c r="R9" s="301"/>
      <c r="S9" s="302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1:41" ht="13.25" customHeight="1" thickTop="1" x14ac:dyDescent="0.15">
      <c r="A10" s="60"/>
      <c r="B10" s="104" t="s">
        <v>2</v>
      </c>
      <c r="C10" s="151">
        <v>43646</v>
      </c>
      <c r="D10" s="315"/>
      <c r="E10" s="346" t="s">
        <v>7</v>
      </c>
      <c r="F10" s="303"/>
      <c r="G10" s="304"/>
      <c r="H10" s="304"/>
      <c r="I10" s="304"/>
      <c r="J10" s="304"/>
      <c r="K10" s="304"/>
      <c r="L10" s="304"/>
      <c r="M10" s="305"/>
      <c r="N10" s="152" t="s">
        <v>185</v>
      </c>
      <c r="O10" s="153" t="str">
        <f>IF(Worksheet!D5=1,Worksheet!D5&amp;" Month",Worksheet!D5&amp;" Months")</f>
        <v>0 Months</v>
      </c>
      <c r="P10" s="153" t="str">
        <f>IF(Worksheet!E5=1,Worksheet!E5&amp;" Month",Worksheet!E5&amp;" Months")</f>
        <v>0 Months</v>
      </c>
      <c r="Q10" s="153" t="str">
        <f>IF(Worksheet!F5=1,Worksheet!F5&amp;" Month",Worksheet!F5&amp;" Months")</f>
        <v>0 Months</v>
      </c>
      <c r="R10" s="153" t="str">
        <f>IF(Worksheet!G5=1,Worksheet!G5&amp;" Month",Worksheet!G5&amp;" Months")</f>
        <v>0 Months</v>
      </c>
      <c r="S10" s="153" t="str">
        <f>IF(Worksheet!B5=1,Worksheet!B5&amp;" Month",Worksheet!B5&amp;" Months")</f>
        <v>12 Months</v>
      </c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</row>
    <row r="11" spans="1:41" ht="10.25" customHeight="1" thickBot="1" x14ac:dyDescent="0.2">
      <c r="C11" s="48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</row>
    <row r="12" spans="1:41" ht="14.5" customHeight="1" thickBot="1" x14ac:dyDescent="0.2">
      <c r="A12" s="306" t="s">
        <v>4</v>
      </c>
      <c r="B12" s="307"/>
      <c r="C12" s="307"/>
      <c r="D12" s="307"/>
      <c r="E12" s="307"/>
      <c r="F12" s="307"/>
      <c r="G12" s="307"/>
      <c r="H12" s="307"/>
      <c r="I12" s="307"/>
      <c r="J12" s="308"/>
      <c r="K12" s="316" t="s">
        <v>166</v>
      </c>
      <c r="L12" s="317"/>
      <c r="M12" s="320" t="s">
        <v>171</v>
      </c>
      <c r="N12" s="50" t="str">
        <f>IF(Worksheet!B5&gt;=Worksheet!C1,"",Worksheet!B5&amp; " Months")</f>
        <v/>
      </c>
      <c r="O12" s="49"/>
      <c r="P12" s="275" t="s">
        <v>56</v>
      </c>
      <c r="Q12" s="275"/>
      <c r="R12" s="141" t="s">
        <v>182</v>
      </c>
      <c r="S12" s="169" t="s">
        <v>184</v>
      </c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</row>
    <row r="13" spans="1:41" x14ac:dyDescent="0.15">
      <c r="A13" s="309"/>
      <c r="B13" s="310"/>
      <c r="C13" s="310"/>
      <c r="D13" s="310"/>
      <c r="E13" s="310"/>
      <c r="F13" s="310"/>
      <c r="G13" s="310"/>
      <c r="H13" s="310"/>
      <c r="I13" s="310"/>
      <c r="J13" s="311"/>
      <c r="K13" s="318"/>
      <c r="L13" s="319"/>
      <c r="M13" s="321"/>
      <c r="N13" s="50" t="s">
        <v>129</v>
      </c>
      <c r="O13" s="50" t="s">
        <v>130</v>
      </c>
      <c r="P13" s="50" t="s">
        <v>131</v>
      </c>
      <c r="Q13" s="50" t="s">
        <v>134</v>
      </c>
      <c r="R13" s="50" t="s">
        <v>132</v>
      </c>
      <c r="S13" s="110" t="s">
        <v>12</v>
      </c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</row>
    <row r="14" spans="1:41" ht="25.25" customHeight="1" x14ac:dyDescent="0.15">
      <c r="A14" s="324"/>
      <c r="B14" s="322" t="s">
        <v>133</v>
      </c>
      <c r="C14" s="322"/>
      <c r="D14" s="322"/>
      <c r="E14" s="326" t="s">
        <v>180</v>
      </c>
      <c r="F14" s="280" t="s">
        <v>159</v>
      </c>
      <c r="G14" s="281"/>
      <c r="H14" s="281"/>
      <c r="I14" s="281"/>
      <c r="J14" s="282"/>
      <c r="K14" s="248" t="s">
        <v>13</v>
      </c>
      <c r="L14" s="249" t="s">
        <v>63</v>
      </c>
      <c r="M14" s="250" t="s">
        <v>128</v>
      </c>
      <c r="N14" s="246" t="s">
        <v>190</v>
      </c>
      <c r="O14" s="246" t="s">
        <v>191</v>
      </c>
      <c r="P14" s="246" t="s">
        <v>192</v>
      </c>
      <c r="Q14" s="246" t="str">
        <f>TEXT(Worksheet!F2,"m/d/yy")&amp;"-"&amp;TEXT(Worksheet!F3,"m/d/yy")</f>
        <v>-</v>
      </c>
      <c r="R14" s="246" t="str">
        <f>TEXT(Worksheet!G2,"m/d/yy")&amp;"-"&amp;TEXT(Worksheet!G3,"m/d/yy")</f>
        <v>-</v>
      </c>
      <c r="S14" s="246" t="str">
        <f>TEXT(Worksheet!B2,"m/d/yy")&amp;"-"&amp;TEXT(Worksheet!B3,"m/d/yy")</f>
        <v>7/1/18-6/30/19</v>
      </c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</row>
    <row r="15" spans="1:41" x14ac:dyDescent="0.15">
      <c r="A15" s="325"/>
      <c r="B15" s="323"/>
      <c r="C15" s="323"/>
      <c r="D15" s="323"/>
      <c r="E15" s="327"/>
      <c r="F15" s="116" t="s">
        <v>160</v>
      </c>
      <c r="G15" s="116" t="s">
        <v>161</v>
      </c>
      <c r="H15" s="116" t="s">
        <v>162</v>
      </c>
      <c r="I15" s="116" t="s">
        <v>163</v>
      </c>
      <c r="J15" s="116" t="s">
        <v>164</v>
      </c>
      <c r="K15" s="248"/>
      <c r="L15" s="249"/>
      <c r="M15" s="250"/>
      <c r="N15" s="247"/>
      <c r="O15" s="247"/>
      <c r="P15" s="247"/>
      <c r="Q15" s="247"/>
      <c r="R15" s="247"/>
      <c r="S15" s="247"/>
      <c r="T15" s="187"/>
      <c r="U15" s="210">
        <f>IF(E33&gt;15800,15800*12*F33,ROUND(F33*E33*12,0))</f>
        <v>0</v>
      </c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</row>
    <row r="16" spans="1:41" ht="12" customHeight="1" x14ac:dyDescent="0.15">
      <c r="A16" s="147">
        <v>1</v>
      </c>
      <c r="B16" s="148" t="s">
        <v>203</v>
      </c>
      <c r="C16" s="148"/>
      <c r="D16" s="149"/>
      <c r="E16" s="150">
        <v>190000</v>
      </c>
      <c r="F16" s="171">
        <v>0.05</v>
      </c>
      <c r="G16" s="171">
        <v>0</v>
      </c>
      <c r="H16" s="171">
        <v>0</v>
      </c>
      <c r="I16" s="171">
        <v>0</v>
      </c>
      <c r="J16" s="171">
        <v>0</v>
      </c>
      <c r="K16" s="145" t="s">
        <v>165</v>
      </c>
      <c r="L16" s="145">
        <v>12</v>
      </c>
      <c r="M16" s="146">
        <v>0.03</v>
      </c>
      <c r="N16" s="178">
        <f>IF(E16&gt;189600,189600*F16,ROUND(F16*E16,0))</f>
        <v>9480</v>
      </c>
      <c r="O16" s="178">
        <f>E16*G16*1.03</f>
        <v>0</v>
      </c>
      <c r="P16" s="178">
        <f>SUM(H16*E16*1.03^2)</f>
        <v>0</v>
      </c>
      <c r="Q16" s="178">
        <f>IF(Worksheet!$C$4=Worksheet!$D$4,(IF(AND($S$12="Multi",$R$12="FY"),ROUND(((1+$M16)^(Worksheet!$B$20+2)*Worksheet!$F$9+(1+$M16)^(Worksheet!$B$20+3)*Worksheet!$F$10)/12*Request!$E16*Request!$I16,0),(IF(AND($S$12="Multi",$R$12="PY"),ROUND($E16*$I16*((1+$M16)^3)/12*Worksheet!$F$5,0),(IF(AND($S$12&lt;&gt;"Multi",$R$12="FY"),ROUND(((1+$S$12)^(Worksheet!$B$20+2)*Worksheet!$F$9+(1+$S$12)^(Worksheet!$B$20+3)*Worksheet!$F$10)/12*Request!$E16*Request!$I16,0),ROUND($E16*$I16*((1+$S$12)^3)/12*Worksheet!$F$5,0))))))),(IF(AND($S$12="Multi",$R$12="FY"),ROUND(((1+$M16)^(Worksheet!$B$20+3)*Worksheet!$F$9+(1+$M16)^(Worksheet!$B$20+4)*Worksheet!$F$10)/12*Request!$E16*Request!$I16,0),(IF(AND($S$12="Multi",$R$12="PY"),ROUND($E16*$I16*((1+$M16)^3)/12*Worksheet!$F$5,0),(IF(AND($S$12&lt;&gt;"Multi",$R$12="FY"),ROUND(((1+$S$12)^(Worksheet!$B$20+3)*Worksheet!$F$9+(1+$S$12)^(Worksheet!$B$20+4)*Worksheet!$F$10)/12*Request!$E16*Request!$I16,0),ROUND($E16*$I16*((1+$S$12)^3)/12*Worksheet!$F$5,0))))))))</f>
        <v>0</v>
      </c>
      <c r="R16" s="178">
        <f>IF(Worksheet!$C$4=Worksheet!$D$4,(IF(AND($S$12="Multi",$R$12="FY"),ROUND(((1+$M16)^(Worksheet!$B$20+3)*Worksheet!$G$9+(1+$M16)^(Worksheet!$B$20+4)*Worksheet!$G$10)/12*Request!$E16*Request!$J16,0),(IF(AND($S$12="Multi",$R$12="PY"),ROUND($E16*$J16*((1+$M16)^4)/12*Worksheet!$G$5,0),(IF(AND($S$12&lt;&gt;"Multi",$R$12="FY"),ROUND(((1+$S$12)^(Worksheet!$B$20+3)*Worksheet!$G$9+(1+$S$12)^(Worksheet!$B$20+4)*Worksheet!$G$10)/12*Request!$E16*Request!$J16,0),ROUND($E16*$J16*((1+$S$12)^4)/12*Worksheet!$G$5,0))))))),(IF(AND($S$12="Multi",$R$12="FY"),ROUND(((1+$M16)^(Worksheet!$B$20+4)*Worksheet!$G$9+(1+$M16)^(Worksheet!$B$20+5)*Worksheet!$G$10)/12*Request!$E16*Request!$J16,0),(IF(AND($S$12="Multi",$R$12="PY"),ROUND($E16*$J16*((1+$M16)^4)/12*Worksheet!$G$5,0),(IF(AND($S$12&lt;&gt;"Multi",$R$12="FY"),ROUND(((1+$S$12)^(Worksheet!$B$20+4)*Worksheet!$G$9+(1+$S$12)^(Worksheet!$B$20+5)*Worksheet!$G$10)/12*Request!$E16*Request!$J16,0),ROUND($E16*$J16*((1+$S$12)^4)/12*Worksheet!$G$5,0))))))))</f>
        <v>0</v>
      </c>
      <c r="S16" s="143">
        <f>SUM(N16:R16)</f>
        <v>9480</v>
      </c>
      <c r="T16" s="187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</row>
    <row r="17" spans="1:41" x14ac:dyDescent="0.15">
      <c r="A17" s="147">
        <v>2</v>
      </c>
      <c r="B17" s="148" t="s">
        <v>202</v>
      </c>
      <c r="C17" s="148"/>
      <c r="D17" s="173"/>
      <c r="E17" s="150">
        <v>75000</v>
      </c>
      <c r="F17" s="171">
        <v>0.05</v>
      </c>
      <c r="G17" s="171">
        <v>0</v>
      </c>
      <c r="H17" s="171">
        <v>0</v>
      </c>
      <c r="I17" s="171">
        <v>0</v>
      </c>
      <c r="J17" s="171">
        <v>0</v>
      </c>
      <c r="K17" s="145" t="s">
        <v>165</v>
      </c>
      <c r="L17" s="145">
        <v>12</v>
      </c>
      <c r="M17" s="146">
        <v>0.03</v>
      </c>
      <c r="N17" s="178">
        <f t="shared" ref="N17:N23" si="0">IF(E17&gt;189600,189600*F17,ROUND(F17*E17,0))</f>
        <v>3750</v>
      </c>
      <c r="O17" s="178">
        <f t="shared" ref="O17:O21" si="1">E17*G17*1.03</f>
        <v>0</v>
      </c>
      <c r="P17" s="178">
        <f t="shared" ref="P17:P21" si="2">SUM(H17*E17*1.03^2)</f>
        <v>0</v>
      </c>
      <c r="Q17" s="178">
        <f>IF(Worksheet!$C$4=Worksheet!$D$4,(IF(AND($S$12="Multi",$R$12="FY"),ROUND(((1+$M17)^(Worksheet!$B$20+2)*Worksheet!$F$9+(1+$M17)^(Worksheet!$B$20+3)*Worksheet!$F$10)/12*Request!$E17*Request!$I17,0),(IF(AND($S$12="Multi",$R$12="PY"),ROUND($E17*$I17*((1+$M17)^3)/12*Worksheet!$F$5,0),(IF(AND($S$12&lt;&gt;"Multi",$R$12="FY"),ROUND(((1+$S$12)^(Worksheet!$B$20+2)*Worksheet!$F$9+(1+$S$12)^(Worksheet!$B$20+3)*Worksheet!$F$10)/12*Request!$E17*Request!$I17,0),ROUND($E17*$I17*((1+$S$12)^3)/12*Worksheet!$F$5,0))))))),(IF(AND($S$12="Multi",$R$12="FY"),ROUND(((1+$M17)^(Worksheet!$B$20+3)*Worksheet!$F$9+(1+$M17)^(Worksheet!$B$20+4)*Worksheet!$F$10)/12*Request!$E17*Request!$I17,0),(IF(AND($S$12="Multi",$R$12="PY"),ROUND($E17*$I17*((1+$M17)^3)/12*Worksheet!$F$5,0),(IF(AND($S$12&lt;&gt;"Multi",$R$12="FY"),ROUND(((1+$S$12)^(Worksheet!$B$20+3)*Worksheet!$F$9+(1+$S$12)^(Worksheet!$B$20+4)*Worksheet!$F$10)/12*Request!$E17*Request!$I17,0),ROUND($E17*$I17*((1+$S$12)^3)/12*Worksheet!$F$5,0))))))))</f>
        <v>0</v>
      </c>
      <c r="R17" s="178">
        <f>IF(Worksheet!$C$4=Worksheet!$D$4,(IF(AND($S$12="Multi",$R$12="FY"),ROUND(((1+$M17)^(Worksheet!$B$20+3)*Worksheet!$G$9+(1+$M17)^(Worksheet!$B$20+4)*Worksheet!$G$10)/12*Request!$E17*Request!$J17,0),(IF(AND($S$12="Multi",$R$12="PY"),ROUND($E17*$J17*((1+$M17)^4)/12*Worksheet!$G$5,0),(IF(AND($S$12&lt;&gt;"Multi",$R$12="FY"),ROUND(((1+$S$12)^(Worksheet!$B$20+3)*Worksheet!$G$9+(1+$S$12)^(Worksheet!$B$20+4)*Worksheet!$G$10)/12*Request!$E17*Request!$J17,0),ROUND($E17*$J17*((1+$S$12)^4)/12*Worksheet!$G$5,0))))))),(IF(AND($S$12="Multi",$R$12="FY"),ROUND(((1+$M17)^(Worksheet!$B$20+4)*Worksheet!$G$9+(1+$M17)^(Worksheet!$B$20+5)*Worksheet!$G$10)/12*Request!$E17*Request!$J17,0),(IF(AND($S$12="Multi",$R$12="PY"),ROUND($E17*$J17*((1+$M17)^4)/12*Worksheet!$G$5,0),(IF(AND($S$12&lt;&gt;"Multi",$R$12="FY"),ROUND(((1+$S$12)^(Worksheet!$B$20+4)*Worksheet!$G$9+(1+$S$12)^(Worksheet!$B$20+5)*Worksheet!$G$10)/12*Request!$E17*Request!$J17,0),ROUND($E17*$J17*((1+$S$12)^4)/12*Worksheet!$G$5,0))))))))</f>
        <v>0</v>
      </c>
      <c r="S17" s="143">
        <f t="shared" ref="S17:S39" si="3">SUM(N17:R17)</f>
        <v>3750</v>
      </c>
      <c r="T17" s="187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</row>
    <row r="18" spans="1:41" x14ac:dyDescent="0.15">
      <c r="A18" s="147">
        <v>3</v>
      </c>
      <c r="B18" s="148" t="s">
        <v>200</v>
      </c>
      <c r="C18" s="148"/>
      <c r="D18" s="149"/>
      <c r="E18" s="150">
        <v>50000</v>
      </c>
      <c r="F18" s="171">
        <v>0.25</v>
      </c>
      <c r="G18" s="171">
        <v>0</v>
      </c>
      <c r="H18" s="171">
        <v>0</v>
      </c>
      <c r="I18" s="171">
        <v>0</v>
      </c>
      <c r="J18" s="171">
        <v>0</v>
      </c>
      <c r="K18" s="145" t="s">
        <v>165</v>
      </c>
      <c r="L18" s="145">
        <v>12</v>
      </c>
      <c r="M18" s="146">
        <v>0.03</v>
      </c>
      <c r="N18" s="178">
        <f t="shared" si="0"/>
        <v>12500</v>
      </c>
      <c r="O18" s="178">
        <f t="shared" si="1"/>
        <v>0</v>
      </c>
      <c r="P18" s="178">
        <f t="shared" si="2"/>
        <v>0</v>
      </c>
      <c r="Q18" s="178">
        <f>IF(Worksheet!$C$4=Worksheet!$D$4,(IF(AND($S$12="Multi",$R$12="FY"),ROUND(((1+$M18)^(Worksheet!$B$20+2)*Worksheet!$F$9+(1+$M18)^(Worksheet!$B$20+3)*Worksheet!$F$10)/12*Request!$E18*Request!$I18,0),(IF(AND($S$12="Multi",$R$12="PY"),ROUND($E18*$I18*((1+$M18)^3)/12*Worksheet!$F$5,0),(IF(AND($S$12&lt;&gt;"Multi",$R$12="FY"),ROUND(((1+$S$12)^(Worksheet!$B$20+2)*Worksheet!$F$9+(1+$S$12)^(Worksheet!$B$20+3)*Worksheet!$F$10)/12*Request!$E18*Request!$I18,0),ROUND($E18*$I18*((1+$S$12)^3)/12*Worksheet!$F$5,0))))))),(IF(AND($S$12="Multi",$R$12="FY"),ROUND(((1+$M18)^(Worksheet!$B$20+3)*Worksheet!$F$9+(1+$M18)^(Worksheet!$B$20+4)*Worksheet!$F$10)/12*Request!$E18*Request!$I18,0),(IF(AND($S$12="Multi",$R$12="PY"),ROUND($E18*$I18*((1+$M18)^3)/12*Worksheet!$F$5,0),(IF(AND($S$12&lt;&gt;"Multi",$R$12="FY"),ROUND(((1+$S$12)^(Worksheet!$B$20+3)*Worksheet!$F$9+(1+$S$12)^(Worksheet!$B$20+4)*Worksheet!$F$10)/12*Request!$E18*Request!$I18,0),ROUND($E18*$I18*((1+$S$12)^3)/12*Worksheet!$F$5,0))))))))</f>
        <v>0</v>
      </c>
      <c r="R18" s="178">
        <f>IF(Worksheet!$C$4=Worksheet!$D$4,(IF(AND($S$12="Multi",$R$12="FY"),ROUND(((1+$M18)^(Worksheet!$B$20+3)*Worksheet!$G$9+(1+$M18)^(Worksheet!$B$20+4)*Worksheet!$G$10)/12*Request!$E18*Request!$J18,0),(IF(AND($S$12="Multi",$R$12="PY"),ROUND($E18*$J18*((1+$M18)^4)/12*Worksheet!$G$5,0),(IF(AND($S$12&lt;&gt;"Multi",$R$12="FY"),ROUND(((1+$S$12)^(Worksheet!$B$20+3)*Worksheet!$G$9+(1+$S$12)^(Worksheet!$B$20+4)*Worksheet!$G$10)/12*Request!$E18*Request!$J18,0),ROUND($E18*$J18*((1+$S$12)^4)/12*Worksheet!$G$5,0))))))),(IF(AND($S$12="Multi",$R$12="FY"),ROUND(((1+$M18)^(Worksheet!$B$20+4)*Worksheet!$G$9+(1+$M18)^(Worksheet!$B$20+5)*Worksheet!$G$10)/12*Request!$E18*Request!$J18,0),(IF(AND($S$12="Multi",$R$12="PY"),ROUND($E18*$J18*((1+$M18)^4)/12*Worksheet!$G$5,0),(IF(AND($S$12&lt;&gt;"Multi",$R$12="FY"),ROUND(((1+$S$12)^(Worksheet!$B$20+4)*Worksheet!$G$9+(1+$S$12)^(Worksheet!$B$20+5)*Worksheet!$G$10)/12*Request!$E18*Request!$J18,0),ROUND($E18*$J18*((1+$S$12)^4)/12*Worksheet!$G$5,0))))))))</f>
        <v>0</v>
      </c>
      <c r="S18" s="143">
        <f t="shared" si="3"/>
        <v>12500</v>
      </c>
      <c r="T18" s="187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</row>
    <row r="19" spans="1:41" x14ac:dyDescent="0.15">
      <c r="A19" s="147">
        <v>4</v>
      </c>
      <c r="B19" s="148" t="s">
        <v>200</v>
      </c>
      <c r="C19" s="148"/>
      <c r="D19" s="149"/>
      <c r="E19" s="150">
        <v>25000</v>
      </c>
      <c r="F19" s="171">
        <v>0.05</v>
      </c>
      <c r="G19" s="171">
        <v>0</v>
      </c>
      <c r="H19" s="171">
        <v>0</v>
      </c>
      <c r="I19" s="171">
        <v>0</v>
      </c>
      <c r="J19" s="171">
        <v>0</v>
      </c>
      <c r="K19" s="145" t="s">
        <v>165</v>
      </c>
      <c r="L19" s="145">
        <v>12</v>
      </c>
      <c r="M19" s="146">
        <v>0.03</v>
      </c>
      <c r="N19" s="178">
        <f t="shared" si="0"/>
        <v>1250</v>
      </c>
      <c r="O19" s="178">
        <f t="shared" si="1"/>
        <v>0</v>
      </c>
      <c r="P19" s="178">
        <f t="shared" si="2"/>
        <v>0</v>
      </c>
      <c r="Q19" s="178">
        <f>IF(Worksheet!$C$4=Worksheet!$D$4,(IF(AND($S$12="Multi",$R$12="FY"),ROUND(((1+$M19)^(Worksheet!$B$20+2)*Worksheet!$F$9+(1+$M19)^(Worksheet!$B$20+3)*Worksheet!$F$10)/12*Request!$E19*Request!$I19,0),(IF(AND($S$12="Multi",$R$12="PY"),ROUND($E19*$I19*((1+$M19)^3)/12*Worksheet!$F$5,0),(IF(AND($S$12&lt;&gt;"Multi",$R$12="FY"),ROUND(((1+$S$12)^(Worksheet!$B$20+2)*Worksheet!$F$9+(1+$S$12)^(Worksheet!$B$20+3)*Worksheet!$F$10)/12*Request!$E19*Request!$I19,0),ROUND($E19*$I19*((1+$S$12)^3)/12*Worksheet!$F$5,0))))))),(IF(AND($S$12="Multi",$R$12="FY"),ROUND(((1+$M19)^(Worksheet!$B$20+3)*Worksheet!$F$9+(1+$M19)^(Worksheet!$B$20+4)*Worksheet!$F$10)/12*Request!$E19*Request!$I19,0),(IF(AND($S$12="Multi",$R$12="PY"),ROUND($E19*$I19*((1+$M19)^3)/12*Worksheet!$F$5,0),(IF(AND($S$12&lt;&gt;"Multi",$R$12="FY"),ROUND(((1+$S$12)^(Worksheet!$B$20+3)*Worksheet!$F$9+(1+$S$12)^(Worksheet!$B$20+4)*Worksheet!$F$10)/12*Request!$E19*Request!$I19,0),ROUND($E19*$I19*((1+$S$12)^3)/12*Worksheet!$F$5,0))))))))</f>
        <v>0</v>
      </c>
      <c r="R19" s="178">
        <f>IF(Worksheet!$C$4=Worksheet!$D$4,(IF(AND($S$12="Multi",$R$12="FY"),ROUND(((1+$M19)^(Worksheet!$B$20+3)*Worksheet!$G$9+(1+$M19)^(Worksheet!$B$20+4)*Worksheet!$G$10)/12*Request!$E19*Request!$J19,0),(IF(AND($S$12="Multi",$R$12="PY"),ROUND($E19*$J19*((1+$M19)^4)/12*Worksheet!$G$5,0),(IF(AND($S$12&lt;&gt;"Multi",$R$12="FY"),ROUND(((1+$S$12)^(Worksheet!$B$20+3)*Worksheet!$G$9+(1+$S$12)^(Worksheet!$B$20+4)*Worksheet!$G$10)/12*Request!$E19*Request!$J19,0),ROUND($E19*$J19*((1+$S$12)^4)/12*Worksheet!$G$5,0))))))),(IF(AND($S$12="Multi",$R$12="FY"),ROUND(((1+$M19)^(Worksheet!$B$20+4)*Worksheet!$G$9+(1+$M19)^(Worksheet!$B$20+5)*Worksheet!$G$10)/12*Request!$E19*Request!$J19,0),(IF(AND($S$12="Multi",$R$12="PY"),ROUND($E19*$J19*((1+$M19)^4)/12*Worksheet!$G$5,0),(IF(AND($S$12&lt;&gt;"Multi",$R$12="FY"),ROUND(((1+$S$12)^(Worksheet!$B$20+4)*Worksheet!$G$9+(1+$S$12)^(Worksheet!$B$20+5)*Worksheet!$G$10)/12*Request!$E19*Request!$J19,0),ROUND($E19*$J19*((1+$S$12)^4)/12*Worksheet!$G$5,0))))))))</f>
        <v>0</v>
      </c>
      <c r="S19" s="143">
        <f t="shared" si="3"/>
        <v>1250</v>
      </c>
      <c r="T19" s="187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</row>
    <row r="20" spans="1:41" ht="12" customHeight="1" x14ac:dyDescent="0.15">
      <c r="A20" s="147">
        <v>5</v>
      </c>
      <c r="B20" s="148"/>
      <c r="C20" s="148"/>
      <c r="D20" s="149"/>
      <c r="E20" s="150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45" t="s">
        <v>165</v>
      </c>
      <c r="L20" s="145">
        <v>12</v>
      </c>
      <c r="M20" s="146">
        <v>0.03</v>
      </c>
      <c r="N20" s="178">
        <f t="shared" si="0"/>
        <v>0</v>
      </c>
      <c r="O20" s="178">
        <f t="shared" si="1"/>
        <v>0</v>
      </c>
      <c r="P20" s="178">
        <f t="shared" si="2"/>
        <v>0</v>
      </c>
      <c r="Q20" s="178">
        <f>IF(Worksheet!$C$4=Worksheet!$D$4,(IF(AND($S$12="Multi",$R$12="FY"),ROUND(((1+$M20)^(Worksheet!$B$20+2)*Worksheet!$F$9+(1+$M20)^(Worksheet!$B$20+3)*Worksheet!$F$10)/12*Request!$E20*Request!$I20,0),(IF(AND($S$12="Multi",$R$12="PY"),ROUND($E20*$I20*((1+$M20)^3)/12*Worksheet!$F$5,0),(IF(AND($S$12&lt;&gt;"Multi",$R$12="FY"),ROUND(((1+$S$12)^(Worksheet!$B$20+2)*Worksheet!$F$9+(1+$S$12)^(Worksheet!$B$20+3)*Worksheet!$F$10)/12*Request!$E20*Request!$I20,0),ROUND($E20*$I20*((1+$S$12)^3)/12*Worksheet!$F$5,0))))))),(IF(AND($S$12="Multi",$R$12="FY"),ROUND(((1+$M20)^(Worksheet!$B$20+3)*Worksheet!$F$9+(1+$M20)^(Worksheet!$B$20+4)*Worksheet!$F$10)/12*Request!$E20*Request!$I20,0),(IF(AND($S$12="Multi",$R$12="PY"),ROUND($E20*$I20*((1+$M20)^3)/12*Worksheet!$F$5,0),(IF(AND($S$12&lt;&gt;"Multi",$R$12="FY"),ROUND(((1+$S$12)^(Worksheet!$B$20+3)*Worksheet!$F$9+(1+$S$12)^(Worksheet!$B$20+4)*Worksheet!$F$10)/12*Request!$E20*Request!$I20,0),ROUND($E20*$I20*((1+$S$12)^3)/12*Worksheet!$F$5,0))))))))</f>
        <v>0</v>
      </c>
      <c r="R20" s="178">
        <f>IF(Worksheet!$C$4=Worksheet!$D$4,(IF(AND($S$12="Multi",$R$12="FY"),ROUND(((1+$M20)^(Worksheet!$B$20+3)*Worksheet!$G$9+(1+$M20)^(Worksheet!$B$20+4)*Worksheet!$G$10)/12*Request!$E20*Request!$J20,0),(IF(AND($S$12="Multi",$R$12="PY"),ROUND($E20*$J20*((1+$M20)^4)/12*Worksheet!$G$5,0),(IF(AND($S$12&lt;&gt;"Multi",$R$12="FY"),ROUND(((1+$S$12)^(Worksheet!$B$20+3)*Worksheet!$G$9+(1+$S$12)^(Worksheet!$B$20+4)*Worksheet!$G$10)/12*Request!$E20*Request!$J20,0),ROUND($E20*$J20*((1+$S$12)^4)/12*Worksheet!$G$5,0))))))),(IF(AND($S$12="Multi",$R$12="FY"),ROUND(((1+$M20)^(Worksheet!$B$20+4)*Worksheet!$G$9+(1+$M20)^(Worksheet!$B$20+5)*Worksheet!$G$10)/12*Request!$E20*Request!$J20,0),(IF(AND($S$12="Multi",$R$12="PY"),ROUND($E20*$J20*((1+$M20)^4)/12*Worksheet!$G$5,0),(IF(AND($S$12&lt;&gt;"Multi",$R$12="FY"),ROUND(((1+$S$12)^(Worksheet!$B$20+4)*Worksheet!$G$9+(1+$S$12)^(Worksheet!$B$20+5)*Worksheet!$G$10)/12*Request!$E20*Request!$J20,0),ROUND($E20*$J20*((1+$S$12)^4)/12*Worksheet!$G$5,0))))))))</f>
        <v>0</v>
      </c>
      <c r="S20" s="143">
        <f t="shared" si="3"/>
        <v>0</v>
      </c>
      <c r="T20" s="187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</row>
    <row r="21" spans="1:41" ht="12" customHeight="1" x14ac:dyDescent="0.15">
      <c r="A21" s="147">
        <v>6</v>
      </c>
      <c r="B21" s="148"/>
      <c r="C21" s="148"/>
      <c r="D21" s="149"/>
      <c r="E21" s="150">
        <v>0</v>
      </c>
      <c r="F21" s="171">
        <v>0</v>
      </c>
      <c r="G21" s="171"/>
      <c r="H21" s="171"/>
      <c r="I21" s="171"/>
      <c r="J21" s="171"/>
      <c r="K21" s="145" t="s">
        <v>165</v>
      </c>
      <c r="L21" s="145">
        <v>12</v>
      </c>
      <c r="M21" s="146">
        <v>0.03</v>
      </c>
      <c r="N21" s="178">
        <f t="shared" si="0"/>
        <v>0</v>
      </c>
      <c r="O21" s="178">
        <f t="shared" si="1"/>
        <v>0</v>
      </c>
      <c r="P21" s="178">
        <f t="shared" si="2"/>
        <v>0</v>
      </c>
      <c r="Q21" s="178">
        <f>IF(Worksheet!$C$4=Worksheet!$D$4,(IF(AND($S$12="Multi",$R$12="FY"),ROUND(((1+$M21)^(Worksheet!$B$20+2)*Worksheet!$F$9+(1+$M21)^(Worksheet!$B$20+3)*Worksheet!$F$10)/12*Request!$E21*Request!$I21,0),(IF(AND($S$12="Multi",$R$12="PY"),ROUND($E21*$I21*((1+$M21)^3)/12*Worksheet!$F$5,0),(IF(AND($S$12&lt;&gt;"Multi",$R$12="FY"),ROUND(((1+$S$12)^(Worksheet!$B$20+2)*Worksheet!$F$9+(1+$S$12)^(Worksheet!$B$20+3)*Worksheet!$F$10)/12*Request!$E21*Request!$I21,0),ROUND($E21*$I21*((1+$S$12)^3)/12*Worksheet!$F$5,0))))))),(IF(AND($S$12="Multi",$R$12="FY"),ROUND(((1+$M21)^(Worksheet!$B$20+3)*Worksheet!$F$9+(1+$M21)^(Worksheet!$B$20+4)*Worksheet!$F$10)/12*Request!$E21*Request!$I21,0),(IF(AND($S$12="Multi",$R$12="PY"),ROUND($E21*$I21*((1+$M21)^3)/12*Worksheet!$F$5,0),(IF(AND($S$12&lt;&gt;"Multi",$R$12="FY"),ROUND(((1+$S$12)^(Worksheet!$B$20+3)*Worksheet!$F$9+(1+$S$12)^(Worksheet!$B$20+4)*Worksheet!$F$10)/12*Request!$E21*Request!$I21,0),ROUND($E21*$I21*((1+$S$12)^3)/12*Worksheet!$F$5,0))))))))</f>
        <v>0</v>
      </c>
      <c r="R21" s="178">
        <f>IF(Worksheet!$C$4=Worksheet!$D$4,(IF(AND($S$12="Multi",$R$12="FY"),ROUND(((1+$M21)^(Worksheet!$B$20+3)*Worksheet!$G$9+(1+$M21)^(Worksheet!$B$20+4)*Worksheet!$G$10)/12*Request!$E21*Request!$J21,0),(IF(AND($S$12="Multi",$R$12="PY"),ROUND($E21*$J21*((1+$M21)^4)/12*Worksheet!$G$5,0),(IF(AND($S$12&lt;&gt;"Multi",$R$12="FY"),ROUND(((1+$S$12)^(Worksheet!$B$20+3)*Worksheet!$G$9+(1+$S$12)^(Worksheet!$B$20+4)*Worksheet!$G$10)/12*Request!$E21*Request!$J21,0),ROUND($E21*$J21*((1+$S$12)^4)/12*Worksheet!$G$5,0))))))),(IF(AND($S$12="Multi",$R$12="FY"),ROUND(((1+$M21)^(Worksheet!$B$20+4)*Worksheet!$G$9+(1+$M21)^(Worksheet!$B$20+5)*Worksheet!$G$10)/12*Request!$E21*Request!$J21,0),(IF(AND($S$12="Multi",$R$12="PY"),ROUND($E21*$J21*((1+$M21)^4)/12*Worksheet!$G$5,0),(IF(AND($S$12&lt;&gt;"Multi",$R$12="FY"),ROUND(((1+$S$12)^(Worksheet!$B$20+4)*Worksheet!$G$9+(1+$S$12)^(Worksheet!$B$20+5)*Worksheet!$G$10)/12*Request!$E21*Request!$J21,0),ROUND($E21*$J21*((1+$S$12)^4)/12*Worksheet!$G$5,0))))))))</f>
        <v>0</v>
      </c>
      <c r="S21" s="143">
        <f t="shared" si="3"/>
        <v>0</v>
      </c>
      <c r="T21" s="187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</row>
    <row r="22" spans="1:41" ht="12" customHeight="1" x14ac:dyDescent="0.15">
      <c r="A22" s="147">
        <v>7</v>
      </c>
      <c r="B22" s="148"/>
      <c r="C22" s="148"/>
      <c r="D22" s="149"/>
      <c r="E22" s="150"/>
      <c r="F22" s="171"/>
      <c r="G22" s="171"/>
      <c r="H22" s="171"/>
      <c r="I22" s="171"/>
      <c r="J22" s="171"/>
      <c r="K22" s="145" t="s">
        <v>165</v>
      </c>
      <c r="L22" s="145">
        <v>12</v>
      </c>
      <c r="M22" s="146">
        <v>0.03</v>
      </c>
      <c r="N22" s="178">
        <f t="shared" si="0"/>
        <v>0</v>
      </c>
      <c r="O22" s="178">
        <f>IF(Worksheet!$C$4=Worksheet!$D$4,(IF(AND($S$12="Multi",$R$12="FY"),ROUND(((1+$M22)^(Worksheet!$B$20)*Worksheet!$D$9+(1+$M22)^(Worksheet!$B$20+1)*Worksheet!$D$10)/12*Request!$E22*Request!$G22,0),(IF(AND($S$12="Multi",$R$12="PY"),ROUND($E22*$G22*(1+M22)/12*Worksheet!$D$5,0),(IF(AND($S$12&lt;&gt;"Multi",$R$12="FY"),ROUND(((1+$S$12)^(Worksheet!$B$20)*Worksheet!$D$9+(1+$S$12)^(Worksheet!$B$20+1)*Worksheet!$D$10)/12*Request!$E22*Request!$G22,0),ROUND($E22*$G22*(1+$S$12)/12*Worksheet!$D$5,0))))))),(IF(AND($S$12="Multi",$R$12="FY"),ROUND(((1+$M22)^(Worksheet!$B$20+1)*Worksheet!$D$9+(1+$M22)^(Worksheet!$B$20+2)*Worksheet!$D$10)/12*Request!$E22*Request!$G22,0),(IF(AND($S$12="Multi",$R$12="PY"),ROUND($E22*$G22*(1+M22)/12*Worksheet!$D$5,0),(IF(AND($S$12&lt;&gt;"Multi",$R$12="FY"),ROUND(((1+$S$12)^(Worksheet!$B$20+1)*Worksheet!$D$9+(1+$S$12)^(Worksheet!$B$20+2)*Worksheet!$D$10)/12*Request!$E22*Request!$G22,0),ROUND($E22*$G22*(1+$S$12)/12*Worksheet!$D$5,0))))))))</f>
        <v>0</v>
      </c>
      <c r="P22" s="178">
        <f>IF(Worksheet!$C$4=Worksheet!$D$4,(IF(AND($S$12="Multi",$R$12="FY"),ROUND(((1+$M22)^(Worksheet!$B$20+1)*Worksheet!$E$9+(1+$M22)^(Worksheet!$B$20+2)*Worksheet!$E$10)/12*Request!$E22*Request!H22,0),(IF(AND($S$12="Multi",$R$12="PY"),ROUND($E22*H22*((1+$M22)^2)/12*Worksheet!$E$5,0),(IF(AND($S$12&lt;&gt;"Multi",$R$12="FY"),ROUND(((1+$S$12)^(Worksheet!$B$20+1)*Worksheet!$E$9+(1+$S$12)^(Worksheet!$B$20+2)*Worksheet!$E$10)/12*Request!$E22*Request!H22,0),ROUND($E22*H22*((1+$S$12)^2)/12*Worksheet!$E$5,0))))))),(IF(AND($S$12="Multi",$R$12="FY"),ROUND(((1+$M22)^(Worksheet!$B$20+2)*Worksheet!$E$9+(1+$M22)^(Worksheet!$B$20+3)*Worksheet!$E$10)/12*Request!$E22*Request!H22,0),(IF(AND($S$12="Multi",$R$12="PY"),ROUND($E22*H22*((1+$M22)^2)/12*Worksheet!$E$5,0),(IF(AND($S$12&lt;&gt;"Multi",$R$12="FY"),ROUND(((1+$S$12)^(Worksheet!$B$20+2)*Worksheet!$E$9+(1+$S$12)^(Worksheet!$B$20+3)*Worksheet!$E$10)/12*Request!$E22*Request!H22,0),ROUND($E22*H22*((1+$S$12)^2)/12*Worksheet!$E$5,0))))))))</f>
        <v>0</v>
      </c>
      <c r="Q22" s="178">
        <f>IF(Worksheet!$C$4=Worksheet!$D$4,(IF(AND($S$12="Multi",$R$12="FY"),ROUND(((1+$M22)^(Worksheet!$B$20+2)*Worksheet!$F$9+(1+$M22)^(Worksheet!$B$20+3)*Worksheet!$F$10)/12*Request!$E22*Request!$I22,0),(IF(AND($S$12="Multi",$R$12="PY"),ROUND($E22*$I22*((1+$M22)^3)/12*Worksheet!$F$5,0),(IF(AND($S$12&lt;&gt;"Multi",$R$12="FY"),ROUND(((1+$S$12)^(Worksheet!$B$20+2)*Worksheet!$F$9+(1+$S$12)^(Worksheet!$B$20+3)*Worksheet!$F$10)/12*Request!$E22*Request!$I22,0),ROUND($E22*$I22*((1+$S$12)^3)/12*Worksheet!$F$5,0))))))),(IF(AND($S$12="Multi",$R$12="FY"),ROUND(((1+$M22)^(Worksheet!$B$20+3)*Worksheet!$F$9+(1+$M22)^(Worksheet!$B$20+4)*Worksheet!$F$10)/12*Request!$E22*Request!$I22,0),(IF(AND($S$12="Multi",$R$12="PY"),ROUND($E22*$I22*((1+$M22)^3)/12*Worksheet!$F$5,0),(IF(AND($S$12&lt;&gt;"Multi",$R$12="FY"),ROUND(((1+$S$12)^(Worksheet!$B$20+3)*Worksheet!$F$9+(1+$S$12)^(Worksheet!$B$20+4)*Worksheet!$F$10)/12*Request!$E22*Request!$I22,0),ROUND($E22*$I22*((1+$S$12)^3)/12*Worksheet!$F$5,0))))))))</f>
        <v>0</v>
      </c>
      <c r="R22" s="178">
        <f>IF(Worksheet!$C$4=Worksheet!$D$4,(IF(AND($S$12="Multi",$R$12="FY"),ROUND(((1+$M22)^(Worksheet!$B$20+3)*Worksheet!$G$9+(1+$M22)^(Worksheet!$B$20+4)*Worksheet!$G$10)/12*Request!$E22*Request!$J22,0),(IF(AND($S$12="Multi",$R$12="PY"),ROUND($E22*$J22*((1+$M22)^4)/12*Worksheet!$G$5,0),(IF(AND($S$12&lt;&gt;"Multi",$R$12="FY"),ROUND(((1+$S$12)^(Worksheet!$B$20+3)*Worksheet!$G$9+(1+$S$12)^(Worksheet!$B$20+4)*Worksheet!$G$10)/12*Request!$E22*Request!$J22,0),ROUND($E22*$J22*((1+$S$12)^4)/12*Worksheet!$G$5,0))))))),(IF(AND($S$12="Multi",$R$12="FY"),ROUND(((1+$M22)^(Worksheet!$B$20+4)*Worksheet!$G$9+(1+$M22)^(Worksheet!$B$20+5)*Worksheet!$G$10)/12*Request!$E22*Request!$J22,0),(IF(AND($S$12="Multi",$R$12="PY"),ROUND($E22*$J22*((1+$M22)^4)/12*Worksheet!$G$5,0),(IF(AND($S$12&lt;&gt;"Multi",$R$12="FY"),ROUND(((1+$S$12)^(Worksheet!$B$20+4)*Worksheet!$G$9+(1+$S$12)^(Worksheet!$B$20+5)*Worksheet!$G$10)/12*Request!$E22*Request!$J22,0),ROUND($E22*$J22*((1+$S$12)^4)/12*Worksheet!$G$5,0))))))))</f>
        <v>0</v>
      </c>
      <c r="S22" s="143">
        <f t="shared" si="3"/>
        <v>0</v>
      </c>
      <c r="T22" s="187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</row>
    <row r="23" spans="1:41" ht="12" customHeight="1" x14ac:dyDescent="0.15">
      <c r="A23" s="147">
        <v>8</v>
      </c>
      <c r="B23" s="148"/>
      <c r="C23" s="148"/>
      <c r="D23" s="149"/>
      <c r="E23" s="150"/>
      <c r="F23" s="171"/>
      <c r="G23" s="171"/>
      <c r="H23" s="171"/>
      <c r="I23" s="171"/>
      <c r="J23" s="171"/>
      <c r="K23" s="145" t="s">
        <v>165</v>
      </c>
      <c r="L23" s="145">
        <v>12</v>
      </c>
      <c r="M23" s="146">
        <v>0.03</v>
      </c>
      <c r="N23" s="178">
        <f t="shared" si="0"/>
        <v>0</v>
      </c>
      <c r="O23" s="178">
        <f>IF(Worksheet!$C$4=Worksheet!$D$4,(IF(AND($S$12="Multi",$R$12="FY"),ROUND(((1+$M23)^(Worksheet!$B$20)*Worksheet!$D$9+(1+$M23)^(Worksheet!$B$20+1)*Worksheet!$D$10)/12*Request!$E23*Request!$G23,0),(IF(AND($S$12="Multi",$R$12="PY"),ROUND($E23*$G23*(1+M23)/12*Worksheet!$D$5,0),(IF(AND($S$12&lt;&gt;"Multi",$R$12="FY"),ROUND(((1+$S$12)^(Worksheet!$B$20)*Worksheet!$D$9+(1+$S$12)^(Worksheet!$B$20+1)*Worksheet!$D$10)/12*Request!$E23*Request!$G23,0),ROUND($E23*$G23*(1+$S$12)/12*Worksheet!$D$5,0))))))),(IF(AND($S$12="Multi",$R$12="FY"),ROUND(((1+$M23)^(Worksheet!$B$20+1)*Worksheet!$D$9+(1+$M23)^(Worksheet!$B$20+2)*Worksheet!$D$10)/12*Request!$E23*Request!$G23,0),(IF(AND($S$12="Multi",$R$12="PY"),ROUND($E23*$G23*(1+M23)/12*Worksheet!$D$5,0),(IF(AND($S$12&lt;&gt;"Multi",$R$12="FY"),ROUND(((1+$S$12)^(Worksheet!$B$20+1)*Worksheet!$D$9+(1+$S$12)^(Worksheet!$B$20+2)*Worksheet!$D$10)/12*Request!$E23*Request!$G23,0),ROUND($E23*$G23*(1+$S$12)/12*Worksheet!$D$5,0))))))))</f>
        <v>0</v>
      </c>
      <c r="P23" s="178">
        <f>IF(Worksheet!$C$4=Worksheet!$D$4,(IF(AND($S$12="Multi",$R$12="FY"),ROUND(((1+$M23)^(Worksheet!$B$20+1)*Worksheet!$E$9+(1+$M23)^(Worksheet!$B$20+2)*Worksheet!$E$10)/12*Request!$E23*Request!H23,0),(IF(AND($S$12="Multi",$R$12="PY"),ROUND($E23*H23*((1+$M23)^2)/12*Worksheet!$E$5,0),(IF(AND($S$12&lt;&gt;"Multi",$R$12="FY"),ROUND(((1+$S$12)^(Worksheet!$B$20+1)*Worksheet!$E$9+(1+$S$12)^(Worksheet!$B$20+2)*Worksheet!$E$10)/12*Request!$E23*Request!H23,0),ROUND($E23*H23*((1+$S$12)^2)/12*Worksheet!$E$5,0))))))),(IF(AND($S$12="Multi",$R$12="FY"),ROUND(((1+$M23)^(Worksheet!$B$20+2)*Worksheet!$E$9+(1+$M23)^(Worksheet!$B$20+3)*Worksheet!$E$10)/12*Request!$E23*Request!H23,0),(IF(AND($S$12="Multi",$R$12="PY"),ROUND($E23*H23*((1+$M23)^2)/12*Worksheet!$E$5,0),(IF(AND($S$12&lt;&gt;"Multi",$R$12="FY"),ROUND(((1+$S$12)^(Worksheet!$B$20+2)*Worksheet!$E$9+(1+$S$12)^(Worksheet!$B$20+3)*Worksheet!$E$10)/12*Request!$E23*Request!H23,0),ROUND($E23*H23*((1+$S$12)^2)/12*Worksheet!$E$5,0))))))))</f>
        <v>0</v>
      </c>
      <c r="Q23" s="178">
        <f>IF(Worksheet!$C$4=Worksheet!$D$4,(IF(AND($S$12="Multi",$R$12="FY"),ROUND(((1+$M23)^(Worksheet!$B$20+2)*Worksheet!$F$9+(1+$M23)^(Worksheet!$B$20+3)*Worksheet!$F$10)/12*Request!$E23*Request!$I23,0),(IF(AND($S$12="Multi",$R$12="PY"),ROUND($E23*$I23*((1+$M23)^3)/12*Worksheet!$F$5,0),(IF(AND($S$12&lt;&gt;"Multi",$R$12="FY"),ROUND(((1+$S$12)^(Worksheet!$B$20+2)*Worksheet!$F$9+(1+$S$12)^(Worksheet!$B$20+3)*Worksheet!$F$10)/12*Request!$E23*Request!$I23,0),ROUND($E23*$I23*((1+$S$12)^3)/12*Worksheet!$F$5,0))))))),(IF(AND($S$12="Multi",$R$12="FY"),ROUND(((1+$M23)^(Worksheet!$B$20+3)*Worksheet!$F$9+(1+$M23)^(Worksheet!$B$20+4)*Worksheet!$F$10)/12*Request!$E23*Request!$I23,0),(IF(AND($S$12="Multi",$R$12="PY"),ROUND($E23*$I23*((1+$M23)^3)/12*Worksheet!$F$5,0),(IF(AND($S$12&lt;&gt;"Multi",$R$12="FY"),ROUND(((1+$S$12)^(Worksheet!$B$20+3)*Worksheet!$F$9+(1+$S$12)^(Worksheet!$B$20+4)*Worksheet!$F$10)/12*Request!$E23*Request!$I23,0),ROUND($E23*$I23*((1+$S$12)^3)/12*Worksheet!$F$5,0))))))))</f>
        <v>0</v>
      </c>
      <c r="R23" s="178">
        <f>IF(Worksheet!$C$4=Worksheet!$D$4,(IF(AND($S$12="Multi",$R$12="FY"),ROUND(((1+$M23)^(Worksheet!$B$20+3)*Worksheet!$G$9+(1+$M23)^(Worksheet!$B$20+4)*Worksheet!$G$10)/12*Request!$E23*Request!$J23,0),(IF(AND($S$12="Multi",$R$12="PY"),ROUND($E23*$J23*((1+$M23)^4)/12*Worksheet!$G$5,0),(IF(AND($S$12&lt;&gt;"Multi",$R$12="FY"),ROUND(((1+$S$12)^(Worksheet!$B$20+3)*Worksheet!$G$9+(1+$S$12)^(Worksheet!$B$20+4)*Worksheet!$G$10)/12*Request!$E23*Request!$J23,0),ROUND($E23*$J23*((1+$S$12)^4)/12*Worksheet!$G$5,0))))))),(IF(AND($S$12="Multi",$R$12="FY"),ROUND(((1+$M23)^(Worksheet!$B$20+4)*Worksheet!$G$9+(1+$M23)^(Worksheet!$B$20+5)*Worksheet!$G$10)/12*Request!$E23*Request!$J23,0),(IF(AND($S$12="Multi",$R$12="PY"),ROUND($E23*$J23*((1+$M23)^4)/12*Worksheet!$G$5,0),(IF(AND($S$12&lt;&gt;"Multi",$R$12="FY"),ROUND(((1+$S$12)^(Worksheet!$B$20+4)*Worksheet!$G$9+(1+$S$12)^(Worksheet!$B$20+5)*Worksheet!$G$10)/12*Request!$E23*Request!$J23,0),ROUND($E23*$J23*((1+$S$12)^4)/12*Worksheet!$G$5,0))))))))</f>
        <v>0</v>
      </c>
      <c r="S23" s="143">
        <f t="shared" si="3"/>
        <v>0</v>
      </c>
      <c r="T23" s="187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</row>
    <row r="24" spans="1:41" ht="12" hidden="1" customHeight="1" x14ac:dyDescent="0.15">
      <c r="A24" s="147">
        <v>9</v>
      </c>
      <c r="B24" s="148"/>
      <c r="C24" s="148"/>
      <c r="D24" s="149"/>
      <c r="E24" s="150"/>
      <c r="F24" s="171"/>
      <c r="G24" s="171"/>
      <c r="H24" s="171"/>
      <c r="I24" s="171"/>
      <c r="J24" s="171"/>
      <c r="K24" s="145" t="s">
        <v>165</v>
      </c>
      <c r="L24" s="145">
        <v>12</v>
      </c>
      <c r="M24" s="146">
        <v>0.03</v>
      </c>
      <c r="N24" s="178">
        <f>IF(AND($S$12="Multi",$R$12="FY"),ROUND(((1+$M24)^Worksheet!$B$20*Worksheet!$C$9+(1+$M24)^(Worksheet!$B$20+1)*Worksheet!$C$10)/12*Request!$E24*Request!$F24,0),(IF(AND($S$12="Multi",$R$12="PY"),ROUND(E24*F24/12*Worksheet!$C$5,0),(IF(AND($S$12&lt;&gt;"Multi",$R$12="FY"),ROUND(((1+$S$12)^Worksheet!$B$20*Worksheet!$C$9+(1+$S$12)^(Worksheet!$B$20+1)*Worksheet!$C$10)/12*Request!$E24*Request!$F24,0),ROUND($E24*$F24/12*Worksheet!$C$5,0))))))</f>
        <v>0</v>
      </c>
      <c r="O24" s="178">
        <f>IF(Worksheet!$C$4=Worksheet!$D$4,(IF(AND($S$12="Multi",$R$12="FY"),ROUND(((1+$M24)^(Worksheet!$B$20)*Worksheet!$D$9+(1+$M24)^(Worksheet!$B$20+1)*Worksheet!$D$10)/12*Request!$E24*Request!$G24,0),(IF(AND($S$12="Multi",$R$12="PY"),ROUND($E24*$G24*(1+M24)/12*Worksheet!$D$5,0),(IF(AND($S$12&lt;&gt;"Multi",$R$12="FY"),ROUND(((1+$S$12)^(Worksheet!$B$20)*Worksheet!$D$9+(1+$S$12)^(Worksheet!$B$20+1)*Worksheet!$D$10)/12*Request!$E24*Request!$G24,0),ROUND($E24*$G24*(1+$S$12)/12*Worksheet!$D$5,0))))))),(IF(AND($S$12="Multi",$R$12="FY"),ROUND(((1+$M24)^(Worksheet!$B$20+1)*Worksheet!$D$9+(1+$M24)^(Worksheet!$B$20+2)*Worksheet!$D$10)/12*Request!$E24*Request!$G24,0),(IF(AND($S$12="Multi",$R$12="PY"),ROUND($E24*$G24*(1+M24)/12*Worksheet!$D$5,0),(IF(AND($S$12&lt;&gt;"Multi",$R$12="FY"),ROUND(((1+$S$12)^(Worksheet!$B$20+1)*Worksheet!$D$9+(1+$S$12)^(Worksheet!$B$20+2)*Worksheet!$D$10)/12*Request!$E24*Request!$G24,0),ROUND($E24*$G24*(1+$S$12)/12*Worksheet!$D$5,0))))))))</f>
        <v>0</v>
      </c>
      <c r="P24" s="178">
        <f>IF(Worksheet!$C$4=Worksheet!$D$4,(IF(AND($S$12="Multi",$R$12="FY"),ROUND(((1+$M24)^(Worksheet!$B$20+1)*Worksheet!$E$9+(1+$M24)^(Worksheet!$B$20+2)*Worksheet!$E$10)/12*Request!$E24*Request!H24,0),(IF(AND($S$12="Multi",$R$12="PY"),ROUND($E24*H24*((1+$M24)^2)/12*Worksheet!$E$5,0),(IF(AND($S$12&lt;&gt;"Multi",$R$12="FY"),ROUND(((1+$S$12)^(Worksheet!$B$20+1)*Worksheet!$E$9+(1+$S$12)^(Worksheet!$B$20+2)*Worksheet!$E$10)/12*Request!$E24*Request!H24,0),ROUND($E24*H24*((1+$S$12)^2)/12*Worksheet!$E$5,0))))))),(IF(AND($S$12="Multi",$R$12="FY"),ROUND(((1+$M24)^(Worksheet!$B$20+2)*Worksheet!$E$9+(1+$M24)^(Worksheet!$B$20+3)*Worksheet!$E$10)/12*Request!$E24*Request!H24,0),(IF(AND($S$12="Multi",$R$12="PY"),ROUND($E24*H24*((1+$M24)^2)/12*Worksheet!$E$5,0),(IF(AND($S$12&lt;&gt;"Multi",$R$12="FY"),ROUND(((1+$S$12)^(Worksheet!$B$20+2)*Worksheet!$E$9+(1+$S$12)^(Worksheet!$B$20+3)*Worksheet!$E$10)/12*Request!$E24*Request!H24,0),ROUND($E24*H24*((1+$S$12)^2)/12*Worksheet!$E$5,0))))))))</f>
        <v>0</v>
      </c>
      <c r="Q24" s="178">
        <f>IF(Worksheet!$C$4=Worksheet!$D$4,(IF(AND($S$12="Multi",$R$12="FY"),ROUND(((1+$M24)^(Worksheet!$B$20+2)*Worksheet!$F$9+(1+$M24)^(Worksheet!$B$20+3)*Worksheet!$F$10)/12*Request!$E24*Request!$I24,0),(IF(AND($S$12="Multi",$R$12="PY"),ROUND($E24*$I24*((1+$M24)^3)/12*Worksheet!$F$5,0),(IF(AND($S$12&lt;&gt;"Multi",$R$12="FY"),ROUND(((1+$S$12)^(Worksheet!$B$20+2)*Worksheet!$F$9+(1+$S$12)^(Worksheet!$B$20+3)*Worksheet!$F$10)/12*Request!$E24*Request!$I24,0),ROUND($E24*$I24*((1+$S$12)^3)/12*Worksheet!$F$5,0))))))),(IF(AND($S$12="Multi",$R$12="FY"),ROUND(((1+$M24)^(Worksheet!$B$20+3)*Worksheet!$F$9+(1+$M24)^(Worksheet!$B$20+4)*Worksheet!$F$10)/12*Request!$E24*Request!$I24,0),(IF(AND($S$12="Multi",$R$12="PY"),ROUND($E24*$I24*((1+$M24)^3)/12*Worksheet!$F$5,0),(IF(AND($S$12&lt;&gt;"Multi",$R$12="FY"),ROUND(((1+$S$12)^(Worksheet!$B$20+3)*Worksheet!$F$9+(1+$S$12)^(Worksheet!$B$20+4)*Worksheet!$F$10)/12*Request!$E24*Request!$I24,0),ROUND($E24*$I24*((1+$S$12)^3)/12*Worksheet!$F$5,0))))))))</f>
        <v>0</v>
      </c>
      <c r="R24" s="178">
        <f>IF(Worksheet!$C$4=Worksheet!$D$4,(IF(AND($S$12="Multi",$R$12="FY"),ROUND(((1+$M24)^(Worksheet!$B$20+3)*Worksheet!$G$9+(1+$M24)^(Worksheet!$B$20+4)*Worksheet!$G$10)/12*Request!$E24*Request!$J24,0),(IF(AND($S$12="Multi",$R$12="PY"),ROUND($E24*$J24*((1+$M24)^4)/12*Worksheet!$G$5,0),(IF(AND($S$12&lt;&gt;"Multi",$R$12="FY"),ROUND(((1+$S$12)^(Worksheet!$B$20+3)*Worksheet!$G$9+(1+$S$12)^(Worksheet!$B$20+4)*Worksheet!$G$10)/12*Request!$E24*Request!$J24,0),ROUND($E24*$J24*((1+$S$12)^4)/12*Worksheet!$G$5,0))))))),(IF(AND($S$12="Multi",$R$12="FY"),ROUND(((1+$M24)^(Worksheet!$B$20+4)*Worksheet!$G$9+(1+$M24)^(Worksheet!$B$20+5)*Worksheet!$G$10)/12*Request!$E24*Request!$J24,0),(IF(AND($S$12="Multi",$R$12="PY"),ROUND($E24*$J24*((1+$M24)^4)/12*Worksheet!$G$5,0),(IF(AND($S$12&lt;&gt;"Multi",$R$12="FY"),ROUND(((1+$S$12)^(Worksheet!$B$20+4)*Worksheet!$G$9+(1+$S$12)^(Worksheet!$B$20+5)*Worksheet!$G$10)/12*Request!$E24*Request!$J24,0),ROUND($E24*$J24*((1+$S$12)^4)/12*Worksheet!$G$5,0))))))))</f>
        <v>0</v>
      </c>
      <c r="S24" s="143">
        <f t="shared" si="3"/>
        <v>0</v>
      </c>
      <c r="T24" s="187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</row>
    <row r="25" spans="1:41" ht="12" hidden="1" customHeight="1" x14ac:dyDescent="0.15">
      <c r="A25" s="147">
        <v>10</v>
      </c>
      <c r="B25" s="148"/>
      <c r="C25" s="148"/>
      <c r="D25" s="149"/>
      <c r="E25" s="150"/>
      <c r="F25" s="171"/>
      <c r="G25" s="171"/>
      <c r="H25" s="171"/>
      <c r="I25" s="171"/>
      <c r="J25" s="171"/>
      <c r="K25" s="145" t="s">
        <v>165</v>
      </c>
      <c r="L25" s="145">
        <v>12</v>
      </c>
      <c r="M25" s="146">
        <v>0.03</v>
      </c>
      <c r="N25" s="178">
        <f>IF(AND($S$12="Multi",$R$12="FY"),ROUND(((1+$M25)^Worksheet!$B$20*Worksheet!$C$9+(1+$M25)^(Worksheet!$B$20+1)*Worksheet!$C$10)/12*Request!$E25*Request!$F25,0),(IF(AND($S$12="Multi",$R$12="PY"),ROUND(E25*F25/12*Worksheet!$C$5,0),(IF(AND($S$12&lt;&gt;"Multi",$R$12="FY"),ROUND(((1+$S$12)^Worksheet!$B$20*Worksheet!$C$9+(1+$S$12)^(Worksheet!$B$20+1)*Worksheet!$C$10)/12*Request!$E25*Request!$F25,0),ROUND($E25*$F25/12*Worksheet!$C$5,0))))))</f>
        <v>0</v>
      </c>
      <c r="O25" s="178">
        <f>IF(Worksheet!$C$4=Worksheet!$D$4,(IF(AND($S$12="Multi",$R$12="FY"),ROUND(((1+$M25)^(Worksheet!$B$20)*Worksheet!$D$9+(1+$M25)^(Worksheet!$B$20+1)*Worksheet!$D$10)/12*Request!$E25*Request!$G25,0),(IF(AND($S$12="Multi",$R$12="PY"),ROUND($E25*$G25*(1+M25)/12*Worksheet!$D$5,0),(IF(AND($S$12&lt;&gt;"Multi",$R$12="FY"),ROUND(((1+$S$12)^(Worksheet!$B$20)*Worksheet!$D$9+(1+$S$12)^(Worksheet!$B$20+1)*Worksheet!$D$10)/12*Request!$E25*Request!$G25,0),ROUND($E25*$G25*(1+$S$12)/12*Worksheet!$D$5,0))))))),(IF(AND($S$12="Multi",$R$12="FY"),ROUND(((1+$M25)^(Worksheet!$B$20+1)*Worksheet!$D$9+(1+$M25)^(Worksheet!$B$20+2)*Worksheet!$D$10)/12*Request!$E25*Request!$G25,0),(IF(AND($S$12="Multi",$R$12="PY"),ROUND($E25*$G25*(1+M25)/12*Worksheet!$D$5,0),(IF(AND($S$12&lt;&gt;"Multi",$R$12="FY"),ROUND(((1+$S$12)^(Worksheet!$B$20+1)*Worksheet!$D$9+(1+$S$12)^(Worksheet!$B$20+2)*Worksheet!$D$10)/12*Request!$E25*Request!$G25,0),ROUND($E25*$G25*(1+$S$12)/12*Worksheet!$D$5,0))))))))</f>
        <v>0</v>
      </c>
      <c r="P25" s="178">
        <f>IF(Worksheet!$C$4=Worksheet!$D$4,(IF(AND($S$12="Multi",$R$12="FY"),ROUND(((1+$M25)^(Worksheet!$B$20+1)*Worksheet!$E$9+(1+$M25)^(Worksheet!$B$20+2)*Worksheet!$E$10)/12*Request!$E25*Request!H25,0),(IF(AND($S$12="Multi",$R$12="PY"),ROUND($E25*H25*((1+$M25)^2)/12*Worksheet!$E$5,0),(IF(AND($S$12&lt;&gt;"Multi",$R$12="FY"),ROUND(((1+$S$12)^(Worksheet!$B$20+1)*Worksheet!$E$9+(1+$S$12)^(Worksheet!$B$20+2)*Worksheet!$E$10)/12*Request!$E25*Request!H25,0),ROUND($E25*H25*((1+$S$12)^2)/12*Worksheet!$E$5,0))))))),(IF(AND($S$12="Multi",$R$12="FY"),ROUND(((1+$M25)^(Worksheet!$B$20+2)*Worksheet!$E$9+(1+$M25)^(Worksheet!$B$20+3)*Worksheet!$E$10)/12*Request!$E25*Request!H25,0),(IF(AND($S$12="Multi",$R$12="PY"),ROUND($E25*H25*((1+$M25)^2)/12*Worksheet!$E$5,0),(IF(AND($S$12&lt;&gt;"Multi",$R$12="FY"),ROUND(((1+$S$12)^(Worksheet!$B$20+2)*Worksheet!$E$9+(1+$S$12)^(Worksheet!$B$20+3)*Worksheet!$E$10)/12*Request!$E25*Request!H25,0),ROUND($E25*H25*((1+$S$12)^2)/12*Worksheet!$E$5,0))))))))</f>
        <v>0</v>
      </c>
      <c r="Q25" s="178">
        <f>IF(Worksheet!$C$4=Worksheet!$D$4,(IF(AND($S$12="Multi",$R$12="FY"),ROUND(((1+$M25)^(Worksheet!$B$20+2)*Worksheet!$F$9+(1+$M25)^(Worksheet!$B$20+3)*Worksheet!$F$10)/12*Request!$E25*Request!$I25,0),(IF(AND($S$12="Multi",$R$12="PY"),ROUND($E25*$I25*((1+$M25)^3)/12*Worksheet!$F$5,0),(IF(AND($S$12&lt;&gt;"Multi",$R$12="FY"),ROUND(((1+$S$12)^(Worksheet!$B$20+2)*Worksheet!$F$9+(1+$S$12)^(Worksheet!$B$20+3)*Worksheet!$F$10)/12*Request!$E25*Request!$I25,0),ROUND($E25*$I25*((1+$S$12)^3)/12*Worksheet!$F$5,0))))))),(IF(AND($S$12="Multi",$R$12="FY"),ROUND(((1+$M25)^(Worksheet!$B$20+3)*Worksheet!$F$9+(1+$M25)^(Worksheet!$B$20+4)*Worksheet!$F$10)/12*Request!$E25*Request!$I25,0),(IF(AND($S$12="Multi",$R$12="PY"),ROUND($E25*$I25*((1+$M25)^3)/12*Worksheet!$F$5,0),(IF(AND($S$12&lt;&gt;"Multi",$R$12="FY"),ROUND(((1+$S$12)^(Worksheet!$B$20+3)*Worksheet!$F$9+(1+$S$12)^(Worksheet!$B$20+4)*Worksheet!$F$10)/12*Request!$E25*Request!$I25,0),ROUND($E25*$I25*((1+$S$12)^3)/12*Worksheet!$F$5,0))))))))</f>
        <v>0</v>
      </c>
      <c r="R25" s="178">
        <f>IF(Worksheet!$C$4=Worksheet!$D$4,(IF(AND($S$12="Multi",$R$12="FY"),ROUND(((1+$M25)^(Worksheet!$B$20+3)*Worksheet!$G$9+(1+$M25)^(Worksheet!$B$20+4)*Worksheet!$G$10)/12*Request!$E25*Request!$J25,0),(IF(AND($S$12="Multi",$R$12="PY"),ROUND($E25*$J25*((1+$M25)^4)/12*Worksheet!$G$5,0),(IF(AND($S$12&lt;&gt;"Multi",$R$12="FY"),ROUND(((1+$S$12)^(Worksheet!$B$20+3)*Worksheet!$G$9+(1+$S$12)^(Worksheet!$B$20+4)*Worksheet!$G$10)/12*Request!$E25*Request!$J25,0),ROUND($E25*$J25*((1+$S$12)^4)/12*Worksheet!$G$5,0))))))),(IF(AND($S$12="Multi",$R$12="FY"),ROUND(((1+$M25)^(Worksheet!$B$20+4)*Worksheet!$G$9+(1+$M25)^(Worksheet!$B$20+5)*Worksheet!$G$10)/12*Request!$E25*Request!$J25,0),(IF(AND($S$12="Multi",$R$12="PY"),ROUND($E25*$J25*((1+$M25)^4)/12*Worksheet!$G$5,0),(IF(AND($S$12&lt;&gt;"Multi",$R$12="FY"),ROUND(((1+$S$12)^(Worksheet!$B$20+4)*Worksheet!$G$9+(1+$S$12)^(Worksheet!$B$20+5)*Worksheet!$G$10)/12*Request!$E25*Request!$J25,0),ROUND($E25*$J25*((1+$S$12)^4)/12*Worksheet!$G$5,0))))))))</f>
        <v>0</v>
      </c>
      <c r="S25" s="143">
        <f t="shared" si="3"/>
        <v>0</v>
      </c>
      <c r="T25" s="187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</row>
    <row r="26" spans="1:41" ht="12" hidden="1" customHeight="1" x14ac:dyDescent="0.15">
      <c r="A26" s="147">
        <v>11</v>
      </c>
      <c r="B26" s="148"/>
      <c r="C26" s="148"/>
      <c r="D26" s="149"/>
      <c r="E26" s="150"/>
      <c r="F26" s="171"/>
      <c r="G26" s="171"/>
      <c r="H26" s="171"/>
      <c r="I26" s="171"/>
      <c r="J26" s="171"/>
      <c r="K26" s="145" t="s">
        <v>165</v>
      </c>
      <c r="L26" s="145">
        <v>12</v>
      </c>
      <c r="M26" s="146">
        <v>0.03</v>
      </c>
      <c r="N26" s="178">
        <f>IF(AND($S$12="Multi",$R$12="FY"),ROUND(((1+$M26)^Worksheet!$B$20*Worksheet!$C$9+(1+$M26)^(Worksheet!$B$20+1)*Worksheet!$C$10)/12*Request!$E26*Request!$F26,0),(IF(AND($S$12="Multi",$R$12="PY"),ROUND(E26*F26/12*Worksheet!$C$5,0),(IF(AND($S$12&lt;&gt;"Multi",$R$12="FY"),ROUND(((1+$S$12)^Worksheet!$B$20*Worksheet!$C$9+(1+$S$12)^(Worksheet!$B$20+1)*Worksheet!$C$10)/12*Request!$E26*Request!$F26,0),ROUND($E26*$F26/12*Worksheet!$C$5,0))))))</f>
        <v>0</v>
      </c>
      <c r="O26" s="178">
        <f>IF(Worksheet!$C$4=Worksheet!$D$4,(IF(AND($S$12="Multi",$R$12="FY"),ROUND(((1+$M26)^(Worksheet!$B$20)*Worksheet!$D$9+(1+$M26)^(Worksheet!$B$20+1)*Worksheet!$D$10)/12*Request!$E26*Request!$G26,0),(IF(AND($S$12="Multi",$R$12="PY"),ROUND($E26*$G26*(1+M26)/12*Worksheet!$D$5,0),(IF(AND($S$12&lt;&gt;"Multi",$R$12="FY"),ROUND(((1+$S$12)^(Worksheet!$B$20)*Worksheet!$D$9+(1+$S$12)^(Worksheet!$B$20+1)*Worksheet!$D$10)/12*Request!$E26*Request!$G26,0),ROUND($E26*$G26*(1+$S$12)/12*Worksheet!$D$5,0))))))),(IF(AND($S$12="Multi",$R$12="FY"),ROUND(((1+$M26)^(Worksheet!$B$20+1)*Worksheet!$D$9+(1+$M26)^(Worksheet!$B$20+2)*Worksheet!$D$10)/12*Request!$E26*Request!$G26,0),(IF(AND($S$12="Multi",$R$12="PY"),ROUND($E26*$G26*(1+M26)/12*Worksheet!$D$5,0),(IF(AND($S$12&lt;&gt;"Multi",$R$12="FY"),ROUND(((1+$S$12)^(Worksheet!$B$20+1)*Worksheet!$D$9+(1+$S$12)^(Worksheet!$B$20+2)*Worksheet!$D$10)/12*Request!$E26*Request!$G26,0),ROUND($E26*$G26*(1+$S$12)/12*Worksheet!$D$5,0))))))))</f>
        <v>0</v>
      </c>
      <c r="P26" s="178">
        <f>IF(Worksheet!$C$4=Worksheet!$D$4,(IF(AND($S$12="Multi",$R$12="FY"),ROUND(((1+$M26)^(Worksheet!$B$20+1)*Worksheet!$E$9+(1+$M26)^(Worksheet!$B$20+2)*Worksheet!$E$10)/12*Request!$E26*Request!H26,0),(IF(AND($S$12="Multi",$R$12="PY"),ROUND($E26*H26*((1+$M26)^2)/12*Worksheet!$E$5,0),(IF(AND($S$12&lt;&gt;"Multi",$R$12="FY"),ROUND(((1+$S$12)^(Worksheet!$B$20+1)*Worksheet!$E$9+(1+$S$12)^(Worksheet!$B$20+2)*Worksheet!$E$10)/12*Request!$E26*Request!H26,0),ROUND($E26*H26*((1+$S$12)^2)/12*Worksheet!$E$5,0))))))),(IF(AND($S$12="Multi",$R$12="FY"),ROUND(((1+$M26)^(Worksheet!$B$20+2)*Worksheet!$E$9+(1+$M26)^(Worksheet!$B$20+3)*Worksheet!$E$10)/12*Request!$E26*Request!H26,0),(IF(AND($S$12="Multi",$R$12="PY"),ROUND($E26*H26*((1+$M26)^2)/12*Worksheet!$E$5,0),(IF(AND($S$12&lt;&gt;"Multi",$R$12="FY"),ROUND(((1+$S$12)^(Worksheet!$B$20+2)*Worksheet!$E$9+(1+$S$12)^(Worksheet!$B$20+3)*Worksheet!$E$10)/12*Request!$E26*Request!H26,0),ROUND($E26*H26*((1+$S$12)^2)/12*Worksheet!$E$5,0))))))))</f>
        <v>0</v>
      </c>
      <c r="Q26" s="178">
        <f>IF(Worksheet!$C$4=Worksheet!$D$4,(IF(AND($S$12="Multi",$R$12="FY"),ROUND(((1+$M26)^(Worksheet!$B$20+2)*Worksheet!$F$9+(1+$M26)^(Worksheet!$B$20+3)*Worksheet!$F$10)/12*Request!$E26*Request!$I26,0),(IF(AND($S$12="Multi",$R$12="PY"),ROUND($E26*$I26*((1+$M26)^3)/12*Worksheet!$F$5,0),(IF(AND($S$12&lt;&gt;"Multi",$R$12="FY"),ROUND(((1+$S$12)^(Worksheet!$B$20+2)*Worksheet!$F$9+(1+$S$12)^(Worksheet!$B$20+3)*Worksheet!$F$10)/12*Request!$E26*Request!$I26,0),ROUND($E26*$I26*((1+$S$12)^3)/12*Worksheet!$F$5,0))))))),(IF(AND($S$12="Multi",$R$12="FY"),ROUND(((1+$M26)^(Worksheet!$B$20+3)*Worksheet!$F$9+(1+$M26)^(Worksheet!$B$20+4)*Worksheet!$F$10)/12*Request!$E26*Request!$I26,0),(IF(AND($S$12="Multi",$R$12="PY"),ROUND($E26*$I26*((1+$M26)^3)/12*Worksheet!$F$5,0),(IF(AND($S$12&lt;&gt;"Multi",$R$12="FY"),ROUND(((1+$S$12)^(Worksheet!$B$20+3)*Worksheet!$F$9+(1+$S$12)^(Worksheet!$B$20+4)*Worksheet!$F$10)/12*Request!$E26*Request!$I26,0),ROUND($E26*$I26*((1+$S$12)^3)/12*Worksheet!$F$5,0))))))))</f>
        <v>0</v>
      </c>
      <c r="R26" s="178">
        <f>IF(Worksheet!$C$4=Worksheet!$D$4,(IF(AND($S$12="Multi",$R$12="FY"),ROUND(((1+$M26)^(Worksheet!$B$20+3)*Worksheet!$G$9+(1+$M26)^(Worksheet!$B$20+4)*Worksheet!$G$10)/12*Request!$E26*Request!$J26,0),(IF(AND($S$12="Multi",$R$12="PY"),ROUND($E26*$J26*((1+$M26)^4)/12*Worksheet!$G$5,0),(IF(AND($S$12&lt;&gt;"Multi",$R$12="FY"),ROUND(((1+$S$12)^(Worksheet!$B$20+3)*Worksheet!$G$9+(1+$S$12)^(Worksheet!$B$20+4)*Worksheet!$G$10)/12*Request!$E26*Request!$J26,0),ROUND($E26*$J26*((1+$S$12)^4)/12*Worksheet!$G$5,0))))))),(IF(AND($S$12="Multi",$R$12="FY"),ROUND(((1+$M26)^(Worksheet!$B$20+4)*Worksheet!$G$9+(1+$M26)^(Worksheet!$B$20+5)*Worksheet!$G$10)/12*Request!$E26*Request!$J26,0),(IF(AND($S$12="Multi",$R$12="PY"),ROUND($E26*$J26*((1+$M26)^4)/12*Worksheet!$G$5,0),(IF(AND($S$12&lt;&gt;"Multi",$R$12="FY"),ROUND(((1+$S$12)^(Worksheet!$B$20+4)*Worksheet!$G$9+(1+$S$12)^(Worksheet!$B$20+5)*Worksheet!$G$10)/12*Request!$E26*Request!$J26,0),ROUND($E26*$J26*((1+$S$12)^4)/12*Worksheet!$G$5,0))))))))</f>
        <v>0</v>
      </c>
      <c r="S26" s="143">
        <f t="shared" si="3"/>
        <v>0</v>
      </c>
      <c r="T26" s="187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</row>
    <row r="27" spans="1:41" hidden="1" x14ac:dyDescent="0.15">
      <c r="A27" s="147">
        <v>12</v>
      </c>
      <c r="B27" s="148"/>
      <c r="C27" s="148"/>
      <c r="D27" s="149"/>
      <c r="E27" s="150"/>
      <c r="F27" s="171"/>
      <c r="G27" s="171"/>
      <c r="H27" s="171"/>
      <c r="I27" s="171"/>
      <c r="J27" s="171"/>
      <c r="K27" s="145" t="s">
        <v>165</v>
      </c>
      <c r="L27" s="145">
        <v>12</v>
      </c>
      <c r="M27" s="146">
        <v>0.03</v>
      </c>
      <c r="N27" s="178">
        <f>IF(AND($S$12="Multi",$R$12="FY"),ROUND(((1+$M27)^Worksheet!$B$20*Worksheet!$C$9+(1+$M27)^(Worksheet!$B$20+1)*Worksheet!$C$10)/12*Request!$E27*Request!$F27,0),(IF(AND($S$12="Multi",$R$12="PY"),ROUND(E27*F27/12*Worksheet!$C$5,0),(IF(AND($S$12&lt;&gt;"Multi",$R$12="FY"),ROUND(((1+$S$12)^Worksheet!$B$20*Worksheet!$C$9+(1+$S$12)^(Worksheet!$B$20+1)*Worksheet!$C$10)/12*Request!$E27*Request!$F27,0),ROUND($E27*$F27/12*Worksheet!$C$5,0))))))</f>
        <v>0</v>
      </c>
      <c r="O27" s="178">
        <f>IF(Worksheet!$C$4=Worksheet!$D$4,(IF(AND($S$12="Multi",$R$12="FY"),ROUND(((1+$M27)^(Worksheet!$B$20)*Worksheet!$D$9+(1+$M27)^(Worksheet!$B$20+1)*Worksheet!$D$10)/12*Request!$E27*Request!$G27,0),(IF(AND($S$12="Multi",$R$12="PY"),ROUND($E27*$G27*(1+M27)/12*Worksheet!$D$5,0),(IF(AND($S$12&lt;&gt;"Multi",$R$12="FY"),ROUND(((1+$S$12)^(Worksheet!$B$20)*Worksheet!$D$9+(1+$S$12)^(Worksheet!$B$20+1)*Worksheet!$D$10)/12*Request!$E27*Request!$G27,0),ROUND($E27*$G27*(1+$S$12)/12*Worksheet!$D$5,0))))))),(IF(AND($S$12="Multi",$R$12="FY"),ROUND(((1+$M27)^(Worksheet!$B$20+1)*Worksheet!$D$9+(1+$M27)^(Worksheet!$B$20+2)*Worksheet!$D$10)/12*Request!$E27*Request!$G27,0),(IF(AND($S$12="Multi",$R$12="PY"),ROUND($E27*$G27*(1+M27)/12*Worksheet!$D$5,0),(IF(AND($S$12&lt;&gt;"Multi",$R$12="FY"),ROUND(((1+$S$12)^(Worksheet!$B$20+1)*Worksheet!$D$9+(1+$S$12)^(Worksheet!$B$20+2)*Worksheet!$D$10)/12*Request!$E27*Request!$G27,0),ROUND($E27*$G27*(1+$S$12)/12*Worksheet!$D$5,0))))))))</f>
        <v>0</v>
      </c>
      <c r="P27" s="178">
        <f>IF(Worksheet!$C$4=Worksheet!$D$4,(IF(AND($S$12="Multi",$R$12="FY"),ROUND(((1+$M27)^(Worksheet!$B$20+1)*Worksheet!$E$9+(1+$M27)^(Worksheet!$B$20+2)*Worksheet!$E$10)/12*Request!$E27*Request!H27,0),(IF(AND($S$12="Multi",$R$12="PY"),ROUND($E27*H27*((1+$M27)^2)/12*Worksheet!$E$5,0),(IF(AND($S$12&lt;&gt;"Multi",$R$12="FY"),ROUND(((1+$S$12)^(Worksheet!$B$20+1)*Worksheet!$E$9+(1+$S$12)^(Worksheet!$B$20+2)*Worksheet!$E$10)/12*Request!$E27*Request!H27,0),ROUND($E27*H27*((1+$S$12)^2)/12*Worksheet!$E$5,0))))))),(IF(AND($S$12="Multi",$R$12="FY"),ROUND(((1+$M27)^(Worksheet!$B$20+2)*Worksheet!$E$9+(1+$M27)^(Worksheet!$B$20+3)*Worksheet!$E$10)/12*Request!$E27*Request!H27,0),(IF(AND($S$12="Multi",$R$12="PY"),ROUND($E27*H27*((1+$M27)^2)/12*Worksheet!$E$5,0),(IF(AND($S$12&lt;&gt;"Multi",$R$12="FY"),ROUND(((1+$S$12)^(Worksheet!$B$20+2)*Worksheet!$E$9+(1+$S$12)^(Worksheet!$B$20+3)*Worksheet!$E$10)/12*Request!$E27*Request!H27,0),ROUND($E27*H27*((1+$S$12)^2)/12*Worksheet!$E$5,0))))))))</f>
        <v>0</v>
      </c>
      <c r="Q27" s="178">
        <f>IF(Worksheet!$C$4=Worksheet!$D$4,(IF(AND($S$12="Multi",$R$12="FY"),ROUND(((1+$M27)^(Worksheet!$B$20+2)*Worksheet!$F$9+(1+$M27)^(Worksheet!$B$20+3)*Worksheet!$F$10)/12*Request!$E27*Request!$I27,0),(IF(AND($S$12="Multi",$R$12="PY"),ROUND($E27*$I27*((1+$M27)^3)/12*Worksheet!$F$5,0),(IF(AND($S$12&lt;&gt;"Multi",$R$12="FY"),ROUND(((1+$S$12)^(Worksheet!$B$20+2)*Worksheet!$F$9+(1+$S$12)^(Worksheet!$B$20+3)*Worksheet!$F$10)/12*Request!$E27*Request!$I27,0),ROUND($E27*$I27*((1+$S$12)^3)/12*Worksheet!$F$5,0))))))),(IF(AND($S$12="Multi",$R$12="FY"),ROUND(((1+$M27)^(Worksheet!$B$20+3)*Worksheet!$F$9+(1+$M27)^(Worksheet!$B$20+4)*Worksheet!$F$10)/12*Request!$E27*Request!$I27,0),(IF(AND($S$12="Multi",$R$12="PY"),ROUND($E27*$I27*((1+$M27)^3)/12*Worksheet!$F$5,0),(IF(AND($S$12&lt;&gt;"Multi",$R$12="FY"),ROUND(((1+$S$12)^(Worksheet!$B$20+3)*Worksheet!$F$9+(1+$S$12)^(Worksheet!$B$20+4)*Worksheet!$F$10)/12*Request!$E27*Request!$I27,0),ROUND($E27*$I27*((1+$S$12)^3)/12*Worksheet!$F$5,0))))))))</f>
        <v>0</v>
      </c>
      <c r="R27" s="178">
        <f>IF(Worksheet!$C$4=Worksheet!$D$4,(IF(AND($S$12="Multi",$R$12="FY"),ROUND(((1+$M27)^(Worksheet!$B$20+3)*Worksheet!$G$9+(1+$M27)^(Worksheet!$B$20+4)*Worksheet!$G$10)/12*Request!$E27*Request!$J27,0),(IF(AND($S$12="Multi",$R$12="PY"),ROUND($E27*$J27*((1+$M27)^4)/12*Worksheet!$G$5,0),(IF(AND($S$12&lt;&gt;"Multi",$R$12="FY"),ROUND(((1+$S$12)^(Worksheet!$B$20+3)*Worksheet!$G$9+(1+$S$12)^(Worksheet!$B$20+4)*Worksheet!$G$10)/12*Request!$E27*Request!$J27,0),ROUND($E27*$J27*((1+$S$12)^4)/12*Worksheet!$G$5,0))))))),(IF(AND($S$12="Multi",$R$12="FY"),ROUND(((1+$M27)^(Worksheet!$B$20+4)*Worksheet!$G$9+(1+$M27)^(Worksheet!$B$20+5)*Worksheet!$G$10)/12*Request!$E27*Request!$J27,0),(IF(AND($S$12="Multi",$R$12="PY"),ROUND($E27*$J27*((1+$M27)^4)/12*Worksheet!$G$5,0),(IF(AND($S$12&lt;&gt;"Multi",$R$12="FY"),ROUND(((1+$S$12)^(Worksheet!$B$20+4)*Worksheet!$G$9+(1+$S$12)^(Worksheet!$B$20+5)*Worksheet!$G$10)/12*Request!$E27*Request!$J27,0),ROUND($E27*$J27*((1+$S$12)^4)/12*Worksheet!$G$5,0))))))))</f>
        <v>0</v>
      </c>
      <c r="S27" s="143">
        <f t="shared" si="3"/>
        <v>0</v>
      </c>
      <c r="T27" s="187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</row>
    <row r="28" spans="1:41" hidden="1" x14ac:dyDescent="0.15">
      <c r="A28" s="147">
        <v>13</v>
      </c>
      <c r="B28" s="148"/>
      <c r="C28" s="148"/>
      <c r="D28" s="149"/>
      <c r="E28" s="150"/>
      <c r="F28" s="171"/>
      <c r="G28" s="171"/>
      <c r="H28" s="171"/>
      <c r="I28" s="171"/>
      <c r="J28" s="171"/>
      <c r="K28" s="145" t="s">
        <v>165</v>
      </c>
      <c r="L28" s="145">
        <v>12</v>
      </c>
      <c r="M28" s="146">
        <v>0.03</v>
      </c>
      <c r="N28" s="178">
        <f>IF(AND($S$12="Multi",$R$12="FY"),ROUND(((1+$M28)^Worksheet!$B$20*Worksheet!$C$9+(1+$M28)^(Worksheet!$B$20+1)*Worksheet!$C$10)/12*Request!$E28*Request!$F28,0),(IF(AND($S$12="Multi",$R$12="PY"),ROUND(E28*F28/12*Worksheet!$C$5,0),(IF(AND($S$12&lt;&gt;"Multi",$R$12="FY"),ROUND(((1+$S$12)^Worksheet!$B$20*Worksheet!$C$9+(1+$S$12)^(Worksheet!$B$20+1)*Worksheet!$C$10)/12*Request!$E28*Request!$F28,0),ROUND($E28*$F28/12*Worksheet!$C$5,0))))))</f>
        <v>0</v>
      </c>
      <c r="O28" s="178">
        <f>IF(Worksheet!$C$4=Worksheet!$D$4,(IF(AND($S$12="Multi",$R$12="FY"),ROUND(((1+$M28)^(Worksheet!$B$20)*Worksheet!$D$9+(1+$M28)^(Worksheet!$B$20+1)*Worksheet!$D$10)/12*Request!$E28*Request!$G28,0),(IF(AND($S$12="Multi",$R$12="PY"),ROUND($E28*$G28*(1+M28)/12*Worksheet!$D$5,0),(IF(AND($S$12&lt;&gt;"Multi",$R$12="FY"),ROUND(((1+$S$12)^(Worksheet!$B$20)*Worksheet!$D$9+(1+$S$12)^(Worksheet!$B$20+1)*Worksheet!$D$10)/12*Request!$E28*Request!$G28,0),ROUND($E28*$G28*(1+$S$12)/12*Worksheet!$D$5,0))))))),(IF(AND($S$12="Multi",$R$12="FY"),ROUND(((1+$M28)^(Worksheet!$B$20+1)*Worksheet!$D$9+(1+$M28)^(Worksheet!$B$20+2)*Worksheet!$D$10)/12*Request!$E28*Request!$G28,0),(IF(AND($S$12="Multi",$R$12="PY"),ROUND($E28*$G28*(1+M28)/12*Worksheet!$D$5,0),(IF(AND($S$12&lt;&gt;"Multi",$R$12="FY"),ROUND(((1+$S$12)^(Worksheet!$B$20+1)*Worksheet!$D$9+(1+$S$12)^(Worksheet!$B$20+2)*Worksheet!$D$10)/12*Request!$E28*Request!$G28,0),ROUND($E28*$G28*(1+$S$12)/12*Worksheet!$D$5,0))))))))</f>
        <v>0</v>
      </c>
      <c r="P28" s="178">
        <f>IF(Worksheet!$C$4=Worksheet!$D$4,(IF(AND($S$12="Multi",$R$12="FY"),ROUND(((1+$M28)^(Worksheet!$B$20+1)*Worksheet!$E$9+(1+$M28)^(Worksheet!$B$20+2)*Worksheet!$E$10)/12*Request!$E28*Request!H28,0),(IF(AND($S$12="Multi",$R$12="PY"),ROUND($E28*H28*((1+$M28)^2)/12*Worksheet!$E$5,0),(IF(AND($S$12&lt;&gt;"Multi",$R$12="FY"),ROUND(((1+$S$12)^(Worksheet!$B$20+1)*Worksheet!$E$9+(1+$S$12)^(Worksheet!$B$20+2)*Worksheet!$E$10)/12*Request!$E28*Request!H28,0),ROUND($E28*H28*((1+$S$12)^2)/12*Worksheet!$E$5,0))))))),(IF(AND($S$12="Multi",$R$12="FY"),ROUND(((1+$M28)^(Worksheet!$B$20+2)*Worksheet!$E$9+(1+$M28)^(Worksheet!$B$20+3)*Worksheet!$E$10)/12*Request!$E28*Request!H28,0),(IF(AND($S$12="Multi",$R$12="PY"),ROUND($E28*H28*((1+$M28)^2)/12*Worksheet!$E$5,0),(IF(AND($S$12&lt;&gt;"Multi",$R$12="FY"),ROUND(((1+$S$12)^(Worksheet!$B$20+2)*Worksheet!$E$9+(1+$S$12)^(Worksheet!$B$20+3)*Worksheet!$E$10)/12*Request!$E28*Request!H28,0),ROUND($E28*H28*((1+$S$12)^2)/12*Worksheet!$E$5,0))))))))</f>
        <v>0</v>
      </c>
      <c r="Q28" s="178">
        <f>IF(Worksheet!$C$4=Worksheet!$D$4,(IF(AND($S$12="Multi",$R$12="FY"),ROUND(((1+$M28)^(Worksheet!$B$20+2)*Worksheet!$F$9+(1+$M28)^(Worksheet!$B$20+3)*Worksheet!$F$10)/12*Request!$E28*Request!$I28,0),(IF(AND($S$12="Multi",$R$12="PY"),ROUND($E28*$I28*((1+$M28)^3)/12*Worksheet!$F$5,0),(IF(AND($S$12&lt;&gt;"Multi",$R$12="FY"),ROUND(((1+$S$12)^(Worksheet!$B$20+2)*Worksheet!$F$9+(1+$S$12)^(Worksheet!$B$20+3)*Worksheet!$F$10)/12*Request!$E28*Request!$I28,0),ROUND($E28*$I28*((1+$S$12)^3)/12*Worksheet!$F$5,0))))))),(IF(AND($S$12="Multi",$R$12="FY"),ROUND(((1+$M28)^(Worksheet!$B$20+3)*Worksheet!$F$9+(1+$M28)^(Worksheet!$B$20+4)*Worksheet!$F$10)/12*Request!$E28*Request!$I28,0),(IF(AND($S$12="Multi",$R$12="PY"),ROUND($E28*$I28*((1+$M28)^3)/12*Worksheet!$F$5,0),(IF(AND($S$12&lt;&gt;"Multi",$R$12="FY"),ROUND(((1+$S$12)^(Worksheet!$B$20+3)*Worksheet!$F$9+(1+$S$12)^(Worksheet!$B$20+4)*Worksheet!$F$10)/12*Request!$E28*Request!$I28,0),ROUND($E28*$I28*((1+$S$12)^3)/12*Worksheet!$F$5,0))))))))</f>
        <v>0</v>
      </c>
      <c r="R28" s="178">
        <f>IF(Worksheet!$C$4=Worksheet!$D$4,(IF(AND($S$12="Multi",$R$12="FY"),ROUND(((1+$M28)^(Worksheet!$B$20+3)*Worksheet!$G$9+(1+$M28)^(Worksheet!$B$20+4)*Worksheet!$G$10)/12*Request!$E28*Request!$J28,0),(IF(AND($S$12="Multi",$R$12="PY"),ROUND($E28*$J28*((1+$M28)^4)/12*Worksheet!$G$5,0),(IF(AND($S$12&lt;&gt;"Multi",$R$12="FY"),ROUND(((1+$S$12)^(Worksheet!$B$20+3)*Worksheet!$G$9+(1+$S$12)^(Worksheet!$B$20+4)*Worksheet!$G$10)/12*Request!$E28*Request!$J28,0),ROUND($E28*$J28*((1+$S$12)^4)/12*Worksheet!$G$5,0))))))),(IF(AND($S$12="Multi",$R$12="FY"),ROUND(((1+$M28)^(Worksheet!$B$20+4)*Worksheet!$G$9+(1+$M28)^(Worksheet!$B$20+5)*Worksheet!$G$10)/12*Request!$E28*Request!$J28,0),(IF(AND($S$12="Multi",$R$12="PY"),ROUND($E28*$J28*((1+$M28)^4)/12*Worksheet!$G$5,0),(IF(AND($S$12&lt;&gt;"Multi",$R$12="FY"),ROUND(((1+$S$12)^(Worksheet!$B$20+4)*Worksheet!$G$9+(1+$S$12)^(Worksheet!$B$20+5)*Worksheet!$G$10)/12*Request!$E28*Request!$J28,0),ROUND($E28*$J28*((1+$S$12)^4)/12*Worksheet!$G$5,0))))))))</f>
        <v>0</v>
      </c>
      <c r="S28" s="143">
        <f t="shared" si="3"/>
        <v>0</v>
      </c>
      <c r="T28" s="187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</row>
    <row r="29" spans="1:41" hidden="1" x14ac:dyDescent="0.15">
      <c r="A29" s="147">
        <v>14</v>
      </c>
      <c r="B29" s="148"/>
      <c r="C29" s="148"/>
      <c r="D29" s="149"/>
      <c r="E29" s="150"/>
      <c r="F29" s="171"/>
      <c r="G29" s="171"/>
      <c r="H29" s="171"/>
      <c r="I29" s="171"/>
      <c r="J29" s="171"/>
      <c r="K29" s="145" t="s">
        <v>165</v>
      </c>
      <c r="L29" s="145">
        <v>12</v>
      </c>
      <c r="M29" s="146">
        <v>0.03</v>
      </c>
      <c r="N29" s="178">
        <f>IF(AND($S$12="Multi",$R$12="FY"),ROUND(((1+$M29)^Worksheet!$B$20*Worksheet!$C$9+(1+$M29)^(Worksheet!$B$20+1)*Worksheet!$C$10)/12*Request!$E29*Request!$F29,0),(IF(AND($S$12="Multi",$R$12="PY"),ROUND(E29*F29/12*Worksheet!$C$5,0),(IF(AND($S$12&lt;&gt;"Multi",$R$12="FY"),ROUND(((1+$S$12)^Worksheet!$B$20*Worksheet!$C$9+(1+$S$12)^(Worksheet!$B$20+1)*Worksheet!$C$10)/12*Request!$E29*Request!$F29,0),ROUND($E29*$F29/12*Worksheet!$C$5,0))))))</f>
        <v>0</v>
      </c>
      <c r="O29" s="178">
        <f>IF(Worksheet!$C$4=Worksheet!$D$4,(IF(AND($S$12="Multi",$R$12="FY"),ROUND(((1+$M29)^(Worksheet!$B$20)*Worksheet!$D$9+(1+$M29)^(Worksheet!$B$20+1)*Worksheet!$D$10)/12*Request!$E29*Request!$G29,0),(IF(AND($S$12="Multi",$R$12="PY"),ROUND($E29*$G29*(1+M29)/12*Worksheet!$D$5,0),(IF(AND($S$12&lt;&gt;"Multi",$R$12="FY"),ROUND(((1+$S$12)^(Worksheet!$B$20)*Worksheet!$D$9+(1+$S$12)^(Worksheet!$B$20+1)*Worksheet!$D$10)/12*Request!$E29*Request!$G29,0),ROUND($E29*$G29*(1+$S$12)/12*Worksheet!$D$5,0))))))),(IF(AND($S$12="Multi",$R$12="FY"),ROUND(((1+$M29)^(Worksheet!$B$20+1)*Worksheet!$D$9+(1+$M29)^(Worksheet!$B$20+2)*Worksheet!$D$10)/12*Request!$E29*Request!$G29,0),(IF(AND($S$12="Multi",$R$12="PY"),ROUND($E29*$G29*(1+M29)/12*Worksheet!$D$5,0),(IF(AND($S$12&lt;&gt;"Multi",$R$12="FY"),ROUND(((1+$S$12)^(Worksheet!$B$20+1)*Worksheet!$D$9+(1+$S$12)^(Worksheet!$B$20+2)*Worksheet!$D$10)/12*Request!$E29*Request!$G29,0),ROUND($E29*$G29*(1+$S$12)/12*Worksheet!$D$5,0))))))))</f>
        <v>0</v>
      </c>
      <c r="P29" s="178">
        <f>IF(Worksheet!$C$4=Worksheet!$D$4,(IF(AND($S$12="Multi",$R$12="FY"),ROUND(((1+$M29)^(Worksheet!$B$20+1)*Worksheet!$E$9+(1+$M29)^(Worksheet!$B$20+2)*Worksheet!$E$10)/12*Request!$E29*Request!H29,0),(IF(AND($S$12="Multi",$R$12="PY"),ROUND($E29*H29*((1+$M29)^2)/12*Worksheet!$E$5,0),(IF(AND($S$12&lt;&gt;"Multi",$R$12="FY"),ROUND(((1+$S$12)^(Worksheet!$B$20+1)*Worksheet!$E$9+(1+$S$12)^(Worksheet!$B$20+2)*Worksheet!$E$10)/12*Request!$E29*Request!H29,0),ROUND($E29*H29*((1+$S$12)^2)/12*Worksheet!$E$5,0))))))),(IF(AND($S$12="Multi",$R$12="FY"),ROUND(((1+$M29)^(Worksheet!$B$20+2)*Worksheet!$E$9+(1+$M29)^(Worksheet!$B$20+3)*Worksheet!$E$10)/12*Request!$E29*Request!H29,0),(IF(AND($S$12="Multi",$R$12="PY"),ROUND($E29*H29*((1+$M29)^2)/12*Worksheet!$E$5,0),(IF(AND($S$12&lt;&gt;"Multi",$R$12="FY"),ROUND(((1+$S$12)^(Worksheet!$B$20+2)*Worksheet!$E$9+(1+$S$12)^(Worksheet!$B$20+3)*Worksheet!$E$10)/12*Request!$E29*Request!H29,0),ROUND($E29*H29*((1+$S$12)^2)/12*Worksheet!$E$5,0))))))))</f>
        <v>0</v>
      </c>
      <c r="Q29" s="178">
        <f>IF(Worksheet!$C$4=Worksheet!$D$4,(IF(AND($S$12="Multi",$R$12="FY"),ROUND(((1+$M29)^(Worksheet!$B$20+2)*Worksheet!$F$9+(1+$M29)^(Worksheet!$B$20+3)*Worksheet!$F$10)/12*Request!$E29*Request!$I29,0),(IF(AND($S$12="Multi",$R$12="PY"),ROUND($E29*$I29*((1+$M29)^3)/12*Worksheet!$F$5,0),(IF(AND($S$12&lt;&gt;"Multi",$R$12="FY"),ROUND(((1+$S$12)^(Worksheet!$B$20+2)*Worksheet!$F$9+(1+$S$12)^(Worksheet!$B$20+3)*Worksheet!$F$10)/12*Request!$E29*Request!$I29,0),ROUND($E29*$I29*((1+$S$12)^3)/12*Worksheet!$F$5,0))))))),(IF(AND($S$12="Multi",$R$12="FY"),ROUND(((1+$M29)^(Worksheet!$B$20+3)*Worksheet!$F$9+(1+$M29)^(Worksheet!$B$20+4)*Worksheet!$F$10)/12*Request!$E29*Request!$I29,0),(IF(AND($S$12="Multi",$R$12="PY"),ROUND($E29*$I29*((1+$M29)^3)/12*Worksheet!$F$5,0),(IF(AND($S$12&lt;&gt;"Multi",$R$12="FY"),ROUND(((1+$S$12)^(Worksheet!$B$20+3)*Worksheet!$F$9+(1+$S$12)^(Worksheet!$B$20+4)*Worksheet!$F$10)/12*Request!$E29*Request!$I29,0),ROUND($E29*$I29*((1+$S$12)^3)/12*Worksheet!$F$5,0))))))))</f>
        <v>0</v>
      </c>
      <c r="R29" s="178">
        <f>IF(Worksheet!$C$4=Worksheet!$D$4,(IF(AND($S$12="Multi",$R$12="FY"),ROUND(((1+$M29)^(Worksheet!$B$20+3)*Worksheet!$G$9+(1+$M29)^(Worksheet!$B$20+4)*Worksheet!$G$10)/12*Request!$E29*Request!$J29,0),(IF(AND($S$12="Multi",$R$12="PY"),ROUND($E29*$J29*((1+$M29)^4)/12*Worksheet!$G$5,0),(IF(AND($S$12&lt;&gt;"Multi",$R$12="FY"),ROUND(((1+$S$12)^(Worksheet!$B$20+3)*Worksheet!$G$9+(1+$S$12)^(Worksheet!$B$20+4)*Worksheet!$G$10)/12*Request!$E29*Request!$J29,0),ROUND($E29*$J29*((1+$S$12)^4)/12*Worksheet!$G$5,0))))))),(IF(AND($S$12="Multi",$R$12="FY"),ROUND(((1+$M29)^(Worksheet!$B$20+4)*Worksheet!$G$9+(1+$M29)^(Worksheet!$B$20+5)*Worksheet!$G$10)/12*Request!$E29*Request!$J29,0),(IF(AND($S$12="Multi",$R$12="PY"),ROUND($E29*$J29*((1+$M29)^4)/12*Worksheet!$G$5,0),(IF(AND($S$12&lt;&gt;"Multi",$R$12="FY"),ROUND(((1+$S$12)^(Worksheet!$B$20+4)*Worksheet!$G$9+(1+$S$12)^(Worksheet!$B$20+5)*Worksheet!$G$10)/12*Request!$E29*Request!$J29,0),ROUND($E29*$J29*((1+$S$12)^4)/12*Worksheet!$G$5,0))))))))</f>
        <v>0</v>
      </c>
      <c r="S29" s="143">
        <f t="shared" si="3"/>
        <v>0</v>
      </c>
      <c r="T29" s="187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</row>
    <row r="30" spans="1:41" hidden="1" x14ac:dyDescent="0.15">
      <c r="A30" s="147">
        <v>15</v>
      </c>
      <c r="B30" s="148"/>
      <c r="C30" s="148"/>
      <c r="D30" s="149"/>
      <c r="E30" s="150"/>
      <c r="F30" s="171"/>
      <c r="G30" s="171"/>
      <c r="H30" s="171"/>
      <c r="I30" s="171"/>
      <c r="J30" s="171"/>
      <c r="K30" s="145" t="s">
        <v>165</v>
      </c>
      <c r="L30" s="145">
        <v>12</v>
      </c>
      <c r="M30" s="146">
        <v>0.03</v>
      </c>
      <c r="N30" s="178">
        <f>IF(AND($S$12="Multi",$R$12="FY"),ROUND(((1+$M30)^Worksheet!$B$20*Worksheet!$C$9+(1+$M30)^(Worksheet!$B$20+1)*Worksheet!$C$10)/12*Request!$E30*Request!$F30,0),(IF(AND($S$12="Multi",$R$12="PY"),ROUND(E30*F30/12*Worksheet!$C$5,0),(IF(AND($S$12&lt;&gt;"Multi",$R$12="FY"),ROUND(((1+$S$12)^Worksheet!$B$20*Worksheet!$C$9+(1+$S$12)^(Worksheet!$B$20+1)*Worksheet!$C$10)/12*Request!$E30*Request!$F30,0),ROUND($E30*$F30/12*Worksheet!$C$5,0))))))</f>
        <v>0</v>
      </c>
      <c r="O30" s="178">
        <f>IF(Worksheet!$C$4=Worksheet!$D$4,(IF(AND($S$12="Multi",$R$12="FY"),ROUND(((1+$M30)^(Worksheet!$B$20)*Worksheet!$D$9+(1+$M30)^(Worksheet!$B$20+1)*Worksheet!$D$10)/12*Request!$E30*Request!$G30,0),(IF(AND($S$12="Multi",$R$12="PY"),ROUND($E30*$G30*(1+M30)/12*Worksheet!$D$5,0),(IF(AND($S$12&lt;&gt;"Multi",$R$12="FY"),ROUND(((1+$S$12)^(Worksheet!$B$20)*Worksheet!$D$9+(1+$S$12)^(Worksheet!$B$20+1)*Worksheet!$D$10)/12*Request!$E30*Request!$G30,0),ROUND($E30*$G30*(1+$S$12)/12*Worksheet!$D$5,0))))))),(IF(AND($S$12="Multi",$R$12="FY"),ROUND(((1+$M30)^(Worksheet!$B$20+1)*Worksheet!$D$9+(1+$M30)^(Worksheet!$B$20+2)*Worksheet!$D$10)/12*Request!$E30*Request!$G30,0),(IF(AND($S$12="Multi",$R$12="PY"),ROUND($E30*$G30*(1+M30)/12*Worksheet!$D$5,0),(IF(AND($S$12&lt;&gt;"Multi",$R$12="FY"),ROUND(((1+$S$12)^(Worksheet!$B$20+1)*Worksheet!$D$9+(1+$S$12)^(Worksheet!$B$20+2)*Worksheet!$D$10)/12*Request!$E30*Request!$G30,0),ROUND($E30*$G30*(1+$S$12)/12*Worksheet!$D$5,0))))))))</f>
        <v>0</v>
      </c>
      <c r="P30" s="178">
        <f>IF(Worksheet!$C$4=Worksheet!$D$4,(IF(AND($S$12="Multi",$R$12="FY"),ROUND(((1+$M30)^(Worksheet!$B$20+1)*Worksheet!$E$9+(1+$M30)^(Worksheet!$B$20+2)*Worksheet!$E$10)/12*Request!$E30*Request!H30,0),(IF(AND($S$12="Multi",$R$12="PY"),ROUND($E30*H30*((1+$M30)^2)/12*Worksheet!$E$5,0),(IF(AND($S$12&lt;&gt;"Multi",$R$12="FY"),ROUND(((1+$S$12)^(Worksheet!$B$20+1)*Worksheet!$E$9+(1+$S$12)^(Worksheet!$B$20+2)*Worksheet!$E$10)/12*Request!$E30*Request!H30,0),ROUND($E30*H30*((1+$S$12)^2)/12*Worksheet!$E$5,0))))))),(IF(AND($S$12="Multi",$R$12="FY"),ROUND(((1+$M30)^(Worksheet!$B$20+2)*Worksheet!$E$9+(1+$M30)^(Worksheet!$B$20+3)*Worksheet!$E$10)/12*Request!$E30*Request!H30,0),(IF(AND($S$12="Multi",$R$12="PY"),ROUND($E30*H30*((1+$M30)^2)/12*Worksheet!$E$5,0),(IF(AND($S$12&lt;&gt;"Multi",$R$12="FY"),ROUND(((1+$S$12)^(Worksheet!$B$20+2)*Worksheet!$E$9+(1+$S$12)^(Worksheet!$B$20+3)*Worksheet!$E$10)/12*Request!$E30*Request!H30,0),ROUND($E30*H30*((1+$S$12)^2)/12*Worksheet!$E$5,0))))))))</f>
        <v>0</v>
      </c>
      <c r="Q30" s="178">
        <f>IF(Worksheet!$C$4=Worksheet!$D$4,(IF(AND($S$12="Multi",$R$12="FY"),ROUND(((1+$M30)^(Worksheet!$B$20+2)*Worksheet!$F$9+(1+$M30)^(Worksheet!$B$20+3)*Worksheet!$F$10)/12*Request!$E30*Request!$I30,0),(IF(AND($S$12="Multi",$R$12="PY"),ROUND($E30*$I30*((1+$M30)^3)/12*Worksheet!$F$5,0),(IF(AND($S$12&lt;&gt;"Multi",$R$12="FY"),ROUND(((1+$S$12)^(Worksheet!$B$20+2)*Worksheet!$F$9+(1+$S$12)^(Worksheet!$B$20+3)*Worksheet!$F$10)/12*Request!$E30*Request!$I30,0),ROUND($E30*$I30*((1+$S$12)^3)/12*Worksheet!$F$5,0))))))),(IF(AND($S$12="Multi",$R$12="FY"),ROUND(((1+$M30)^(Worksheet!$B$20+3)*Worksheet!$F$9+(1+$M30)^(Worksheet!$B$20+4)*Worksheet!$F$10)/12*Request!$E30*Request!$I30,0),(IF(AND($S$12="Multi",$R$12="PY"),ROUND($E30*$I30*((1+$M30)^3)/12*Worksheet!$F$5,0),(IF(AND($S$12&lt;&gt;"Multi",$R$12="FY"),ROUND(((1+$S$12)^(Worksheet!$B$20+3)*Worksheet!$F$9+(1+$S$12)^(Worksheet!$B$20+4)*Worksheet!$F$10)/12*Request!$E30*Request!$I30,0),ROUND($E30*$I30*((1+$S$12)^3)/12*Worksheet!$F$5,0))))))))</f>
        <v>0</v>
      </c>
      <c r="R30" s="178">
        <f>IF(Worksheet!$C$4=Worksheet!$D$4,(IF(AND($S$12="Multi",$R$12="FY"),ROUND(((1+$M30)^(Worksheet!$B$20+3)*Worksheet!$G$9+(1+$M30)^(Worksheet!$B$20+4)*Worksheet!$G$10)/12*Request!$E30*Request!$J30,0),(IF(AND($S$12="Multi",$R$12="PY"),ROUND($E30*$J30*((1+$M30)^4)/12*Worksheet!$G$5,0),(IF(AND($S$12&lt;&gt;"Multi",$R$12="FY"),ROUND(((1+$S$12)^(Worksheet!$B$20+3)*Worksheet!$G$9+(1+$S$12)^(Worksheet!$B$20+4)*Worksheet!$G$10)/12*Request!$E30*Request!$J30,0),ROUND($E30*$J30*((1+$S$12)^4)/12*Worksheet!$G$5,0))))))),(IF(AND($S$12="Multi",$R$12="FY"),ROUND(((1+$M30)^(Worksheet!$B$20+4)*Worksheet!$G$9+(1+$M30)^(Worksheet!$B$20+5)*Worksheet!$G$10)/12*Request!$E30*Request!$J30,0),(IF(AND($S$12="Multi",$R$12="PY"),ROUND($E30*$J30*((1+$M30)^4)/12*Worksheet!$G$5,0),(IF(AND($S$12&lt;&gt;"Multi",$R$12="FY"),ROUND(((1+$S$12)^(Worksheet!$B$20+4)*Worksheet!$G$9+(1+$S$12)^(Worksheet!$B$20+5)*Worksheet!$G$10)/12*Request!$E30*Request!$J30,0),ROUND($E30*$J30*((1+$S$12)^4)/12*Worksheet!$G$5,0))))))))</f>
        <v>0</v>
      </c>
      <c r="S30" s="143">
        <f t="shared" si="3"/>
        <v>0</v>
      </c>
      <c r="T30" s="187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</row>
    <row r="31" spans="1:41" hidden="1" x14ac:dyDescent="0.15">
      <c r="A31" s="147">
        <v>16</v>
      </c>
      <c r="B31" s="148"/>
      <c r="C31" s="148"/>
      <c r="D31" s="149"/>
      <c r="E31" s="150"/>
      <c r="F31" s="171"/>
      <c r="G31" s="171"/>
      <c r="H31" s="171"/>
      <c r="I31" s="171"/>
      <c r="J31" s="171"/>
      <c r="K31" s="145" t="s">
        <v>165</v>
      </c>
      <c r="L31" s="145">
        <v>12</v>
      </c>
      <c r="M31" s="146">
        <v>0.03</v>
      </c>
      <c r="N31" s="178">
        <f>IF(AND($S$12="Multi",$R$12="FY"),ROUND(((1+$M31)^Worksheet!$B$20*Worksheet!$C$9+(1+$M31)^(Worksheet!$B$20+1)*Worksheet!$C$10)/12*Request!$E31*Request!$F31,0),(IF(AND($S$12="Multi",$R$12="PY"),ROUND(E31*F31/12*Worksheet!$C$5,0),(IF(AND($S$12&lt;&gt;"Multi",$R$12="FY"),ROUND(((1+$S$12)^Worksheet!$B$20*Worksheet!$C$9+(1+$S$12)^(Worksheet!$B$20+1)*Worksheet!$C$10)/12*Request!$E31*Request!$F31,0),ROUND($E31*$F31/12*Worksheet!$C$5,0))))))</f>
        <v>0</v>
      </c>
      <c r="O31" s="178">
        <f>IF(Worksheet!$C$4=Worksheet!$D$4,(IF(AND($S$12="Multi",$R$12="FY"),ROUND(((1+$M31)^(Worksheet!$B$20)*Worksheet!$D$9+(1+$M31)^(Worksheet!$B$20+1)*Worksheet!$D$10)/12*Request!$E31*Request!$G31,0),(IF(AND($S$12="Multi",$R$12="PY"),ROUND($E31*$G31*(1+M31)/12*Worksheet!$D$5,0),(IF(AND($S$12&lt;&gt;"Multi",$R$12="FY"),ROUND(((1+$S$12)^(Worksheet!$B$20)*Worksheet!$D$9+(1+$S$12)^(Worksheet!$B$20+1)*Worksheet!$D$10)/12*Request!$E31*Request!$G31,0),ROUND($E31*$G31*(1+$S$12)/12*Worksheet!$D$5,0))))))),(IF(AND($S$12="Multi",$R$12="FY"),ROUND(((1+$M31)^(Worksheet!$B$20+1)*Worksheet!$D$9+(1+$M31)^(Worksheet!$B$20+2)*Worksheet!$D$10)/12*Request!$E31*Request!$G31,0),(IF(AND($S$12="Multi",$R$12="PY"),ROUND($E31*$G31*(1+M31)/12*Worksheet!$D$5,0),(IF(AND($S$12&lt;&gt;"Multi",$R$12="FY"),ROUND(((1+$S$12)^(Worksheet!$B$20+1)*Worksheet!$D$9+(1+$S$12)^(Worksheet!$B$20+2)*Worksheet!$D$10)/12*Request!$E31*Request!$G31,0),ROUND($E31*$G31*(1+$S$12)/12*Worksheet!$D$5,0))))))))</f>
        <v>0</v>
      </c>
      <c r="P31" s="178">
        <f>IF(Worksheet!$C$4=Worksheet!$D$4,(IF(AND($S$12="Multi",$R$12="FY"),ROUND(((1+$M31)^(Worksheet!$B$20+1)*Worksheet!$E$9+(1+$M31)^(Worksheet!$B$20+2)*Worksheet!$E$10)/12*Request!$E31*Request!H31,0),(IF(AND($S$12="Multi",$R$12="PY"),ROUND($E31*H31*((1+$M31)^2)/12*Worksheet!$E$5,0),(IF(AND($S$12&lt;&gt;"Multi",$R$12="FY"),ROUND(((1+$S$12)^(Worksheet!$B$20+1)*Worksheet!$E$9+(1+$S$12)^(Worksheet!$B$20+2)*Worksheet!$E$10)/12*Request!$E31*Request!H31,0),ROUND($E31*H31*((1+$S$12)^2)/12*Worksheet!$E$5,0))))))),(IF(AND($S$12="Multi",$R$12="FY"),ROUND(((1+$M31)^(Worksheet!$B$20+2)*Worksheet!$E$9+(1+$M31)^(Worksheet!$B$20+3)*Worksheet!$E$10)/12*Request!$E31*Request!H31,0),(IF(AND($S$12="Multi",$R$12="PY"),ROUND($E31*H31*((1+$M31)^2)/12*Worksheet!$E$5,0),(IF(AND($S$12&lt;&gt;"Multi",$R$12="FY"),ROUND(((1+$S$12)^(Worksheet!$B$20+2)*Worksheet!$E$9+(1+$S$12)^(Worksheet!$B$20+3)*Worksheet!$E$10)/12*Request!$E31*Request!H31,0),ROUND($E31*H31*((1+$S$12)^2)/12*Worksheet!$E$5,0))))))))</f>
        <v>0</v>
      </c>
      <c r="Q31" s="178">
        <f>IF(Worksheet!$C$4=Worksheet!$D$4,(IF(AND($S$12="Multi",$R$12="FY"),ROUND(((1+$M31)^(Worksheet!$B$20+2)*Worksheet!$F$9+(1+$M31)^(Worksheet!$B$20+3)*Worksheet!$F$10)/12*Request!$E31*Request!$I31,0),(IF(AND($S$12="Multi",$R$12="PY"),ROUND($E31*$I31*((1+$M31)^3)/12*Worksheet!$F$5,0),(IF(AND($S$12&lt;&gt;"Multi",$R$12="FY"),ROUND(((1+$S$12)^(Worksheet!$B$20+2)*Worksheet!$F$9+(1+$S$12)^(Worksheet!$B$20+3)*Worksheet!$F$10)/12*Request!$E31*Request!$I31,0),ROUND($E31*$I31*((1+$S$12)^3)/12*Worksheet!$F$5,0))))))),(IF(AND($S$12="Multi",$R$12="FY"),ROUND(((1+$M31)^(Worksheet!$B$20+3)*Worksheet!$F$9+(1+$M31)^(Worksheet!$B$20+4)*Worksheet!$F$10)/12*Request!$E31*Request!$I31,0),(IF(AND($S$12="Multi",$R$12="PY"),ROUND($E31*$I31*((1+$M31)^3)/12*Worksheet!$F$5,0),(IF(AND($S$12&lt;&gt;"Multi",$R$12="FY"),ROUND(((1+$S$12)^(Worksheet!$B$20+3)*Worksheet!$F$9+(1+$S$12)^(Worksheet!$B$20+4)*Worksheet!$F$10)/12*Request!$E31*Request!$I31,0),ROUND($E31*$I31*((1+$S$12)^3)/12*Worksheet!$F$5,0))))))))</f>
        <v>0</v>
      </c>
      <c r="R31" s="178">
        <f>IF(Worksheet!$C$4=Worksheet!$D$4,(IF(AND($S$12="Multi",$R$12="FY"),ROUND(((1+$M31)^(Worksheet!$B$20+3)*Worksheet!$G$9+(1+$M31)^(Worksheet!$B$20+4)*Worksheet!$G$10)/12*Request!$E31*Request!$J31,0),(IF(AND($S$12="Multi",$R$12="PY"),ROUND($E31*$J31*((1+$M31)^4)/12*Worksheet!$G$5,0),(IF(AND($S$12&lt;&gt;"Multi",$R$12="FY"),ROUND(((1+$S$12)^(Worksheet!$B$20+3)*Worksheet!$G$9+(1+$S$12)^(Worksheet!$B$20+4)*Worksheet!$G$10)/12*Request!$E31*Request!$J31,0),ROUND($E31*$J31*((1+$S$12)^4)/12*Worksheet!$G$5,0))))))),(IF(AND($S$12="Multi",$R$12="FY"),ROUND(((1+$M31)^(Worksheet!$B$20+4)*Worksheet!$G$9+(1+$M31)^(Worksheet!$B$20+5)*Worksheet!$G$10)/12*Request!$E31*Request!$J31,0),(IF(AND($S$12="Multi",$R$12="PY"),ROUND($E31*$J31*((1+$M31)^4)/12*Worksheet!$G$5,0),(IF(AND($S$12&lt;&gt;"Multi",$R$12="FY"),ROUND(((1+$S$12)^(Worksheet!$B$20+4)*Worksheet!$G$9+(1+$S$12)^(Worksheet!$B$20+5)*Worksheet!$G$10)/12*Request!$E31*Request!$J31,0),ROUND($E31*$J31*((1+$S$12)^4)/12*Worksheet!$G$5,0))))))))</f>
        <v>0</v>
      </c>
      <c r="S31" s="143">
        <f t="shared" si="3"/>
        <v>0</v>
      </c>
      <c r="T31" s="187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</row>
    <row r="32" spans="1:41" hidden="1" x14ac:dyDescent="0.15">
      <c r="A32" s="147">
        <v>17</v>
      </c>
      <c r="B32" s="148"/>
      <c r="C32" s="148"/>
      <c r="D32" s="149"/>
      <c r="E32" s="150"/>
      <c r="F32" s="171"/>
      <c r="G32" s="171"/>
      <c r="H32" s="171"/>
      <c r="I32" s="171"/>
      <c r="J32" s="171"/>
      <c r="K32" s="145" t="s">
        <v>165</v>
      </c>
      <c r="L32" s="145">
        <v>12</v>
      </c>
      <c r="M32" s="146">
        <v>0.03</v>
      </c>
      <c r="N32" s="178">
        <f>IF(AND($S$12="Multi",$R$12="FY"),ROUND(((1+$M32)^Worksheet!$B$20*Worksheet!$C$9+(1+$M32)^(Worksheet!$B$20+1)*Worksheet!$C$10)/12*Request!$E32*Request!$F32,0),(IF(AND($S$12="Multi",$R$12="PY"),ROUND(E32*F32/12*Worksheet!$C$5,0),(IF(AND($S$12&lt;&gt;"Multi",$R$12="FY"),ROUND(((1+$S$12)^Worksheet!$B$20*Worksheet!$C$9+(1+$S$12)^(Worksheet!$B$20+1)*Worksheet!$C$10)/12*Request!$E32*Request!$F32,0),ROUND($E32*$F32/12*Worksheet!$C$5,0))))))</f>
        <v>0</v>
      </c>
      <c r="O32" s="178">
        <f>IF(Worksheet!$C$4=Worksheet!$D$4,(IF(AND($S$12="Multi",$R$12="FY"),ROUND(((1+$M32)^(Worksheet!$B$20)*Worksheet!$D$9+(1+$M32)^(Worksheet!$B$20+1)*Worksheet!$D$10)/12*Request!$E32*Request!$G32,0),(IF(AND($S$12="Multi",$R$12="PY"),ROUND($E32*$G32*(1+M32)/12*Worksheet!$D$5,0),(IF(AND($S$12&lt;&gt;"Multi",$R$12="FY"),ROUND(((1+$S$12)^(Worksheet!$B$20)*Worksheet!$D$9+(1+$S$12)^(Worksheet!$B$20+1)*Worksheet!$D$10)/12*Request!$E32*Request!$G32,0),ROUND($E32*$G32*(1+$S$12)/12*Worksheet!$D$5,0))))))),(IF(AND($S$12="Multi",$R$12="FY"),ROUND(((1+$M32)^(Worksheet!$B$20+1)*Worksheet!$D$9+(1+$M32)^(Worksheet!$B$20+2)*Worksheet!$D$10)/12*Request!$E32*Request!$G32,0),(IF(AND($S$12="Multi",$R$12="PY"),ROUND($E32*$G32*(1+M32)/12*Worksheet!$D$5,0),(IF(AND($S$12&lt;&gt;"Multi",$R$12="FY"),ROUND(((1+$S$12)^(Worksheet!$B$20+1)*Worksheet!$D$9+(1+$S$12)^(Worksheet!$B$20+2)*Worksheet!$D$10)/12*Request!$E32*Request!$G32,0),ROUND($E32*$G32*(1+$S$12)/12*Worksheet!$D$5,0))))))))</f>
        <v>0</v>
      </c>
      <c r="P32" s="178">
        <f>IF(Worksheet!$C$4=Worksheet!$D$4,(IF(AND($S$12="Multi",$R$12="FY"),ROUND(((1+$M32)^(Worksheet!$B$20+1)*Worksheet!$E$9+(1+$M32)^(Worksheet!$B$20+2)*Worksheet!$E$10)/12*Request!$E32*Request!H32,0),(IF(AND($S$12="Multi",$R$12="PY"),ROUND($E32*H32*((1+$M32)^2)/12*Worksheet!$E$5,0),(IF(AND($S$12&lt;&gt;"Multi",$R$12="FY"),ROUND(((1+$S$12)^(Worksheet!$B$20+1)*Worksheet!$E$9+(1+$S$12)^(Worksheet!$B$20+2)*Worksheet!$E$10)/12*Request!$E32*Request!H32,0),ROUND($E32*H32*((1+$S$12)^2)/12*Worksheet!$E$5,0))))))),(IF(AND($S$12="Multi",$R$12="FY"),ROUND(((1+$M32)^(Worksheet!$B$20+2)*Worksheet!$E$9+(1+$M32)^(Worksheet!$B$20+3)*Worksheet!$E$10)/12*Request!$E32*Request!H32,0),(IF(AND($S$12="Multi",$R$12="PY"),ROUND($E32*H32*((1+$M32)^2)/12*Worksheet!$E$5,0),(IF(AND($S$12&lt;&gt;"Multi",$R$12="FY"),ROUND(((1+$S$12)^(Worksheet!$B$20+2)*Worksheet!$E$9+(1+$S$12)^(Worksheet!$B$20+3)*Worksheet!$E$10)/12*Request!$E32*Request!H32,0),ROUND($E32*H32*((1+$S$12)^2)/12*Worksheet!$E$5,0))))))))</f>
        <v>0</v>
      </c>
      <c r="Q32" s="178">
        <f>IF(Worksheet!$C$4=Worksheet!$D$4,(IF(AND($S$12="Multi",$R$12="FY"),ROUND(((1+$M32)^(Worksheet!$B$20+2)*Worksheet!$F$9+(1+$M32)^(Worksheet!$B$20+3)*Worksheet!$F$10)/12*Request!$E32*Request!$I32,0),(IF(AND($S$12="Multi",$R$12="PY"),ROUND($E32*$I32*((1+$M32)^3)/12*Worksheet!$F$5,0),(IF(AND($S$12&lt;&gt;"Multi",$R$12="FY"),ROUND(((1+$S$12)^(Worksheet!$B$20+2)*Worksheet!$F$9+(1+$S$12)^(Worksheet!$B$20+3)*Worksheet!$F$10)/12*Request!$E32*Request!$I32,0),ROUND($E32*$I32*((1+$S$12)^3)/12*Worksheet!$F$5,0))))))),(IF(AND($S$12="Multi",$R$12="FY"),ROUND(((1+$M32)^(Worksheet!$B$20+3)*Worksheet!$F$9+(1+$M32)^(Worksheet!$B$20+4)*Worksheet!$F$10)/12*Request!$E32*Request!$I32,0),(IF(AND($S$12="Multi",$R$12="PY"),ROUND($E32*$I32*((1+$M32)^3)/12*Worksheet!$F$5,0),(IF(AND($S$12&lt;&gt;"Multi",$R$12="FY"),ROUND(((1+$S$12)^(Worksheet!$B$20+3)*Worksheet!$F$9+(1+$S$12)^(Worksheet!$B$20+4)*Worksheet!$F$10)/12*Request!$E32*Request!$I32,0),ROUND($E32*$I32*((1+$S$12)^3)/12*Worksheet!$F$5,0))))))))</f>
        <v>0</v>
      </c>
      <c r="R32" s="178">
        <f>IF(Worksheet!$C$4=Worksheet!$D$4,(IF(AND($S$12="Multi",$R$12="FY"),ROUND(((1+$M32)^(Worksheet!$B$20+3)*Worksheet!$G$9+(1+$M32)^(Worksheet!$B$20+4)*Worksheet!$G$10)/12*Request!$E32*Request!$J32,0),(IF(AND($S$12="Multi",$R$12="PY"),ROUND($E32*$J32*((1+$M32)^4)/12*Worksheet!$G$5,0),(IF(AND($S$12&lt;&gt;"Multi",$R$12="FY"),ROUND(((1+$S$12)^(Worksheet!$B$20+3)*Worksheet!$G$9+(1+$S$12)^(Worksheet!$B$20+4)*Worksheet!$G$10)/12*Request!$E32*Request!$J32,0),ROUND($E32*$J32*((1+$S$12)^4)/12*Worksheet!$G$5,0))))))),(IF(AND($S$12="Multi",$R$12="FY"),ROUND(((1+$M32)^(Worksheet!$B$20+4)*Worksheet!$G$9+(1+$M32)^(Worksheet!$B$20+5)*Worksheet!$G$10)/12*Request!$E32*Request!$J32,0),(IF(AND($S$12="Multi",$R$12="PY"),ROUND($E32*$J32*((1+$M32)^4)/12*Worksheet!$G$5,0),(IF(AND($S$12&lt;&gt;"Multi",$R$12="FY"),ROUND(((1+$S$12)^(Worksheet!$B$20+4)*Worksheet!$G$9+(1+$S$12)^(Worksheet!$B$20+5)*Worksheet!$G$10)/12*Request!$E32*Request!$J32,0),ROUND($E32*$J32*((1+$S$12)^4)/12*Worksheet!$G$5,0))))))))</f>
        <v>0</v>
      </c>
      <c r="S32" s="143">
        <f t="shared" si="3"/>
        <v>0</v>
      </c>
      <c r="T32" s="187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</row>
    <row r="33" spans="1:41" hidden="1" x14ac:dyDescent="0.15">
      <c r="A33" s="147">
        <v>18</v>
      </c>
      <c r="B33" s="148"/>
      <c r="C33" s="148"/>
      <c r="D33" s="149"/>
      <c r="E33" s="150"/>
      <c r="F33" s="171"/>
      <c r="G33" s="171"/>
      <c r="H33" s="171"/>
      <c r="I33" s="171"/>
      <c r="J33" s="171"/>
      <c r="K33" s="145" t="s">
        <v>165</v>
      </c>
      <c r="L33" s="145">
        <v>12</v>
      </c>
      <c r="M33" s="146">
        <v>0.03</v>
      </c>
      <c r="N33" s="178">
        <f>IF(AND($S$12="Multi",$R$12="FY"),ROUND(((1+$M33)^Worksheet!$B$20*Worksheet!$C$9+(1+$M33)^(Worksheet!$B$20+1)*Worksheet!$C$10)/12*Request!$E33*Request!$F33,0),(IF(AND($S$12="Multi",$R$12="PY"),ROUND(E33*F33/12*Worksheet!$C$5,0),(IF(AND($S$12&lt;&gt;"Multi",$R$12="FY"),ROUND(((1+$S$12)^Worksheet!$B$20*Worksheet!$C$9+(1+$S$12)^(Worksheet!$B$20+1)*Worksheet!$C$10)/12*Request!$E33*Request!$F33,0),ROUND($E33*$F33/12*Worksheet!$C$5,0))))))</f>
        <v>0</v>
      </c>
      <c r="O33" s="178">
        <f>IF(Worksheet!$C$4=Worksheet!$D$4,(IF(AND($S$12="Multi",$R$12="FY"),ROUND(((1+$M33)^(Worksheet!$B$20)*Worksheet!$D$9+(1+$M33)^(Worksheet!$B$20+1)*Worksheet!$D$10)/12*Request!$E33*Request!$G33,0),(IF(AND($S$12="Multi",$R$12="PY"),ROUND($E33*$G33*(1+M33)/12*Worksheet!$D$5,0),(IF(AND($S$12&lt;&gt;"Multi",$R$12="FY"),ROUND(((1+$S$12)^(Worksheet!$B$20)*Worksheet!$D$9+(1+$S$12)^(Worksheet!$B$20+1)*Worksheet!$D$10)/12*Request!$E33*Request!$G33,0),ROUND($E33*$G33*(1+$S$12)/12*Worksheet!$D$5,0))))))),(IF(AND($S$12="Multi",$R$12="FY"),ROUND(((1+$M33)^(Worksheet!$B$20+1)*Worksheet!$D$9+(1+$M33)^(Worksheet!$B$20+2)*Worksheet!$D$10)/12*Request!$E33*Request!$G33,0),(IF(AND($S$12="Multi",$R$12="PY"),ROUND($E33*$G33*(1+M33)/12*Worksheet!$D$5,0),(IF(AND($S$12&lt;&gt;"Multi",$R$12="FY"),ROUND(((1+$S$12)^(Worksheet!$B$20+1)*Worksheet!$D$9+(1+$S$12)^(Worksheet!$B$20+2)*Worksheet!$D$10)/12*Request!$E33*Request!$G33,0),ROUND($E33*$G33*(1+$S$12)/12*Worksheet!$D$5,0))))))))</f>
        <v>0</v>
      </c>
      <c r="P33" s="178">
        <f>IF(Worksheet!$C$4=Worksheet!$D$4,(IF(AND($S$12="Multi",$R$12="FY"),ROUND(((1+$M33)^(Worksheet!$B$20+1)*Worksheet!$E$9+(1+$M33)^(Worksheet!$B$20+2)*Worksheet!$E$10)/12*Request!$E33*Request!H33,0),(IF(AND($S$12="Multi",$R$12="PY"),ROUND($E33*H33*((1+$M33)^2)/12*Worksheet!$E$5,0),(IF(AND($S$12&lt;&gt;"Multi",$R$12="FY"),ROUND(((1+$S$12)^(Worksheet!$B$20+1)*Worksheet!$E$9+(1+$S$12)^(Worksheet!$B$20+2)*Worksheet!$E$10)/12*Request!$E33*Request!H33,0),ROUND($E33*H33*((1+$S$12)^2)/12*Worksheet!$E$5,0))))))),(IF(AND($S$12="Multi",$R$12="FY"),ROUND(((1+$M33)^(Worksheet!$B$20+2)*Worksheet!$E$9+(1+$M33)^(Worksheet!$B$20+3)*Worksheet!$E$10)/12*Request!$E33*Request!H33,0),(IF(AND($S$12="Multi",$R$12="PY"),ROUND($E33*H33*((1+$M33)^2)/12*Worksheet!$E$5,0),(IF(AND($S$12&lt;&gt;"Multi",$R$12="FY"),ROUND(((1+$S$12)^(Worksheet!$B$20+2)*Worksheet!$E$9+(1+$S$12)^(Worksheet!$B$20+3)*Worksheet!$E$10)/12*Request!$E33*Request!H33,0),ROUND($E33*H33*((1+$S$12)^2)/12*Worksheet!$E$5,0))))))))</f>
        <v>0</v>
      </c>
      <c r="Q33" s="178">
        <f>IF(Worksheet!$C$4=Worksheet!$D$4,(IF(AND($S$12="Multi",$R$12="FY"),ROUND(((1+$M33)^(Worksheet!$B$20+2)*Worksheet!$F$9+(1+$M33)^(Worksheet!$B$20+3)*Worksheet!$F$10)/12*Request!$E33*Request!$I33,0),(IF(AND($S$12="Multi",$R$12="PY"),ROUND($E33*$I33*((1+$M33)^3)/12*Worksheet!$F$5,0),(IF(AND($S$12&lt;&gt;"Multi",$R$12="FY"),ROUND(((1+$S$12)^(Worksheet!$B$20+2)*Worksheet!$F$9+(1+$S$12)^(Worksheet!$B$20+3)*Worksheet!$F$10)/12*Request!$E33*Request!$I33,0),ROUND($E33*$I33*((1+$S$12)^3)/12*Worksheet!$F$5,0))))))),(IF(AND($S$12="Multi",$R$12="FY"),ROUND(((1+$M33)^(Worksheet!$B$20+3)*Worksheet!$F$9+(1+$M33)^(Worksheet!$B$20+4)*Worksheet!$F$10)/12*Request!$E33*Request!$I33,0),(IF(AND($S$12="Multi",$R$12="PY"),ROUND($E33*$I33*((1+$M33)^3)/12*Worksheet!$F$5,0),(IF(AND($S$12&lt;&gt;"Multi",$R$12="FY"),ROUND(((1+$S$12)^(Worksheet!$B$20+3)*Worksheet!$F$9+(1+$S$12)^(Worksheet!$B$20+4)*Worksheet!$F$10)/12*Request!$E33*Request!$I33,0),ROUND($E33*$I33*((1+$S$12)^3)/12*Worksheet!$F$5,0))))))))</f>
        <v>0</v>
      </c>
      <c r="R33" s="178">
        <f>IF(Worksheet!$C$4=Worksheet!$D$4,(IF(AND($S$12="Multi",$R$12="FY"),ROUND(((1+$M33)^(Worksheet!$B$20+3)*Worksheet!$G$9+(1+$M33)^(Worksheet!$B$20+4)*Worksheet!$G$10)/12*Request!$E33*Request!$J33,0),(IF(AND($S$12="Multi",$R$12="PY"),ROUND($E33*$J33*((1+$M33)^4)/12*Worksheet!$G$5,0),(IF(AND($S$12&lt;&gt;"Multi",$R$12="FY"),ROUND(((1+$S$12)^(Worksheet!$B$20+3)*Worksheet!$G$9+(1+$S$12)^(Worksheet!$B$20+4)*Worksheet!$G$10)/12*Request!$E33*Request!$J33,0),ROUND($E33*$J33*((1+$S$12)^4)/12*Worksheet!$G$5,0))))))),(IF(AND($S$12="Multi",$R$12="FY"),ROUND(((1+$M33)^(Worksheet!$B$20+4)*Worksheet!$G$9+(1+$M33)^(Worksheet!$B$20+5)*Worksheet!$G$10)/12*Request!$E33*Request!$J33,0),(IF(AND($S$12="Multi",$R$12="PY"),ROUND($E33*$J33*((1+$M33)^4)/12*Worksheet!$G$5,0),(IF(AND($S$12&lt;&gt;"Multi",$R$12="FY"),ROUND(((1+$S$12)^(Worksheet!$B$20+4)*Worksheet!$G$9+(1+$S$12)^(Worksheet!$B$20+5)*Worksheet!$G$10)/12*Request!$E33*Request!$J33,0),ROUND($E33*$J33*((1+$S$12)^4)/12*Worksheet!$G$5,0))))))))</f>
        <v>0</v>
      </c>
      <c r="S33" s="143">
        <f t="shared" si="3"/>
        <v>0</v>
      </c>
      <c r="T33" s="187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</row>
    <row r="34" spans="1:41" hidden="1" x14ac:dyDescent="0.15">
      <c r="A34" s="147">
        <v>19</v>
      </c>
      <c r="B34" s="148"/>
      <c r="C34" s="148"/>
      <c r="D34" s="149"/>
      <c r="E34" s="150"/>
      <c r="F34" s="171"/>
      <c r="G34" s="171"/>
      <c r="H34" s="171"/>
      <c r="I34" s="171"/>
      <c r="J34" s="171"/>
      <c r="K34" s="145" t="s">
        <v>165</v>
      </c>
      <c r="L34" s="145">
        <v>12</v>
      </c>
      <c r="M34" s="146">
        <v>0.03</v>
      </c>
      <c r="N34" s="178">
        <f>IF(AND($S$12="Multi",$R$12="FY"),ROUND(((1+$M34)^Worksheet!$B$20*Worksheet!$C$9+(1+$M34)^(Worksheet!$B$20+1)*Worksheet!$C$10)/12*Request!$E34*Request!$F34,0),(IF(AND($S$12="Multi",$R$12="PY"),ROUND(E34*F34/12*Worksheet!$C$5,0),(IF(AND($S$12&lt;&gt;"Multi",$R$12="FY"),ROUND(((1+$S$12)^Worksheet!$B$20*Worksheet!$C$9+(1+$S$12)^(Worksheet!$B$20+1)*Worksheet!$C$10)/12*Request!$E34*Request!$F34,0),ROUND($E34*$F34/12*Worksheet!$C$5,0))))))</f>
        <v>0</v>
      </c>
      <c r="O34" s="178">
        <f>IF(Worksheet!$C$4=Worksheet!$D$4,(IF(AND($S$12="Multi",$R$12="FY"),ROUND(((1+$M34)^(Worksheet!$B$20)*Worksheet!$D$9+(1+$M34)^(Worksheet!$B$20+1)*Worksheet!$D$10)/12*Request!$E34*Request!$G34,0),(IF(AND($S$12="Multi",$R$12="PY"),ROUND($E34*$G34*(1+M34)/12*Worksheet!$D$5,0),(IF(AND($S$12&lt;&gt;"Multi",$R$12="FY"),ROUND(((1+$S$12)^(Worksheet!$B$20)*Worksheet!$D$9+(1+$S$12)^(Worksheet!$B$20+1)*Worksheet!$D$10)/12*Request!$E34*Request!$G34,0),ROUND($E34*$G34*(1+$S$12)/12*Worksheet!$D$5,0))))))),(IF(AND($S$12="Multi",$R$12="FY"),ROUND(((1+$M34)^(Worksheet!$B$20+1)*Worksheet!$D$9+(1+$M34)^(Worksheet!$B$20+2)*Worksheet!$D$10)/12*Request!$E34*Request!$G34,0),(IF(AND($S$12="Multi",$R$12="PY"),ROUND($E34*$G34*(1+M34)/12*Worksheet!$D$5,0),(IF(AND($S$12&lt;&gt;"Multi",$R$12="FY"),ROUND(((1+$S$12)^(Worksheet!$B$20+1)*Worksheet!$D$9+(1+$S$12)^(Worksheet!$B$20+2)*Worksheet!$D$10)/12*Request!$E34*Request!$G34,0),ROUND($E34*$G34*(1+$S$12)/12*Worksheet!$D$5,0))))))))</f>
        <v>0</v>
      </c>
      <c r="P34" s="178">
        <f>IF(Worksheet!$C$4=Worksheet!$D$4,(IF(AND($S$12="Multi",$R$12="FY"),ROUND(((1+$M34)^(Worksheet!$B$20+1)*Worksheet!$E$9+(1+$M34)^(Worksheet!$B$20+2)*Worksheet!$E$10)/12*Request!$E34*Request!H34,0),(IF(AND($S$12="Multi",$R$12="PY"),ROUND($E34*H34*((1+$M34)^2)/12*Worksheet!$E$5,0),(IF(AND($S$12&lt;&gt;"Multi",$R$12="FY"),ROUND(((1+$S$12)^(Worksheet!$B$20+1)*Worksheet!$E$9+(1+$S$12)^(Worksheet!$B$20+2)*Worksheet!$E$10)/12*Request!$E34*Request!H34,0),ROUND($E34*H34*((1+$S$12)^2)/12*Worksheet!$E$5,0))))))),(IF(AND($S$12="Multi",$R$12="FY"),ROUND(((1+$M34)^(Worksheet!$B$20+2)*Worksheet!$E$9+(1+$M34)^(Worksheet!$B$20+3)*Worksheet!$E$10)/12*Request!$E34*Request!H34,0),(IF(AND($S$12="Multi",$R$12="PY"),ROUND($E34*H34*((1+$M34)^2)/12*Worksheet!$E$5,0),(IF(AND($S$12&lt;&gt;"Multi",$R$12="FY"),ROUND(((1+$S$12)^(Worksheet!$B$20+2)*Worksheet!$E$9+(1+$S$12)^(Worksheet!$B$20+3)*Worksheet!$E$10)/12*Request!$E34*Request!H34,0),ROUND($E34*H34*((1+$S$12)^2)/12*Worksheet!$E$5,0))))))))</f>
        <v>0</v>
      </c>
      <c r="Q34" s="178">
        <f>IF(Worksheet!$C$4=Worksheet!$D$4,(IF(AND($S$12="Multi",$R$12="FY"),ROUND(((1+$M34)^(Worksheet!$B$20+2)*Worksheet!$F$9+(1+$M34)^(Worksheet!$B$20+3)*Worksheet!$F$10)/12*Request!$E34*Request!$I34,0),(IF(AND($S$12="Multi",$R$12="PY"),ROUND($E34*$I34*((1+$M34)^3)/12*Worksheet!$F$5,0),(IF(AND($S$12&lt;&gt;"Multi",$R$12="FY"),ROUND(((1+$S$12)^(Worksheet!$B$20+2)*Worksheet!$F$9+(1+$S$12)^(Worksheet!$B$20+3)*Worksheet!$F$10)/12*Request!$E34*Request!$I34,0),ROUND($E34*$I34*((1+$S$12)^3)/12*Worksheet!$F$5,0))))))),(IF(AND($S$12="Multi",$R$12="FY"),ROUND(((1+$M34)^(Worksheet!$B$20+3)*Worksheet!$F$9+(1+$M34)^(Worksheet!$B$20+4)*Worksheet!$F$10)/12*Request!$E34*Request!$I34,0),(IF(AND($S$12="Multi",$R$12="PY"),ROUND($E34*$I34*((1+$M34)^3)/12*Worksheet!$F$5,0),(IF(AND($S$12&lt;&gt;"Multi",$R$12="FY"),ROUND(((1+$S$12)^(Worksheet!$B$20+3)*Worksheet!$F$9+(1+$S$12)^(Worksheet!$B$20+4)*Worksheet!$F$10)/12*Request!$E34*Request!$I34,0),ROUND($E34*$I34*((1+$S$12)^3)/12*Worksheet!$F$5,0))))))))</f>
        <v>0</v>
      </c>
      <c r="R34" s="178">
        <f>IF(Worksheet!$C$4=Worksheet!$D$4,(IF(AND($S$12="Multi",$R$12="FY"),ROUND(((1+$M34)^(Worksheet!$B$20+3)*Worksheet!$G$9+(1+$M34)^(Worksheet!$B$20+4)*Worksheet!$G$10)/12*Request!$E34*Request!$J34,0),(IF(AND($S$12="Multi",$R$12="PY"),ROUND($E34*$J34*((1+$M34)^4)/12*Worksheet!$G$5,0),(IF(AND($S$12&lt;&gt;"Multi",$R$12="FY"),ROUND(((1+$S$12)^(Worksheet!$B$20+3)*Worksheet!$G$9+(1+$S$12)^(Worksheet!$B$20+4)*Worksheet!$G$10)/12*Request!$E34*Request!$J34,0),ROUND($E34*$J34*((1+$S$12)^4)/12*Worksheet!$G$5,0))))))),(IF(AND($S$12="Multi",$R$12="FY"),ROUND(((1+$M34)^(Worksheet!$B$20+4)*Worksheet!$G$9+(1+$M34)^(Worksheet!$B$20+5)*Worksheet!$G$10)/12*Request!$E34*Request!$J34,0),(IF(AND($S$12="Multi",$R$12="PY"),ROUND($E34*$J34*((1+$M34)^4)/12*Worksheet!$G$5,0),(IF(AND($S$12&lt;&gt;"Multi",$R$12="FY"),ROUND(((1+$S$12)^(Worksheet!$B$20+4)*Worksheet!$G$9+(1+$S$12)^(Worksheet!$B$20+5)*Worksheet!$G$10)/12*Request!$E34*Request!$J34,0),ROUND($E34*$J34*((1+$S$12)^4)/12*Worksheet!$G$5,0))))))))</f>
        <v>0</v>
      </c>
      <c r="S34" s="143">
        <f t="shared" si="3"/>
        <v>0</v>
      </c>
      <c r="T34" s="187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</row>
    <row r="35" spans="1:41" hidden="1" x14ac:dyDescent="0.15">
      <c r="A35" s="147">
        <v>20</v>
      </c>
      <c r="B35" s="148"/>
      <c r="C35" s="148"/>
      <c r="D35" s="149"/>
      <c r="E35" s="150"/>
      <c r="F35" s="171"/>
      <c r="G35" s="171"/>
      <c r="H35" s="171"/>
      <c r="I35" s="171"/>
      <c r="J35" s="171"/>
      <c r="K35" s="145" t="s">
        <v>165</v>
      </c>
      <c r="L35" s="145">
        <v>12</v>
      </c>
      <c r="M35" s="146">
        <v>0.03</v>
      </c>
      <c r="N35" s="178">
        <f>IF(AND($S$12="Multi",$R$12="FY"),ROUND(((1+$M35)^Worksheet!$B$20*Worksheet!$C$9+(1+$M35)^(Worksheet!$B$20+1)*Worksheet!$C$10)/12*Request!$E35*Request!$F35,0),(IF(AND($S$12="Multi",$R$12="PY"),ROUND(E35*F35/12*Worksheet!$C$5,0),(IF(AND($S$12&lt;&gt;"Multi",$R$12="FY"),ROUND(((1+$S$12)^Worksheet!$B$20*Worksheet!$C$9+(1+$S$12)^(Worksheet!$B$20+1)*Worksheet!$C$10)/12*Request!$E35*Request!$F35,0),ROUND($E35*$F35/12*Worksheet!$C$5,0))))))</f>
        <v>0</v>
      </c>
      <c r="O35" s="178">
        <f>IF(Worksheet!$C$4=Worksheet!$D$4,(IF(AND($S$12="Multi",$R$12="FY"),ROUND(((1+$M35)^(Worksheet!$B$20)*Worksheet!$D$9+(1+$M35)^(Worksheet!$B$20+1)*Worksheet!$D$10)/12*Request!$E35*Request!$G35,0),(IF(AND($S$12="Multi",$R$12="PY"),ROUND($E35*$G35*(1+M35)/12*Worksheet!$D$5,0),(IF(AND($S$12&lt;&gt;"Multi",$R$12="FY"),ROUND(((1+$S$12)^(Worksheet!$B$20)*Worksheet!$D$9+(1+$S$12)^(Worksheet!$B$20+1)*Worksheet!$D$10)/12*Request!$E35*Request!$G35,0),ROUND($E35*$G35*(1+$S$12)/12*Worksheet!$D$5,0))))))),(IF(AND($S$12="Multi",$R$12="FY"),ROUND(((1+$M35)^(Worksheet!$B$20+1)*Worksheet!$D$9+(1+$M35)^(Worksheet!$B$20+2)*Worksheet!$D$10)/12*Request!$E35*Request!$G35,0),(IF(AND($S$12="Multi",$R$12="PY"),ROUND($E35*$G35*(1+M35)/12*Worksheet!$D$5,0),(IF(AND($S$12&lt;&gt;"Multi",$R$12="FY"),ROUND(((1+$S$12)^(Worksheet!$B$20+1)*Worksheet!$D$9+(1+$S$12)^(Worksheet!$B$20+2)*Worksheet!$D$10)/12*Request!$E35*Request!$G35,0),ROUND($E35*$G35*(1+$S$12)/12*Worksheet!$D$5,0))))))))</f>
        <v>0</v>
      </c>
      <c r="P35" s="178">
        <f>IF(Worksheet!$C$4=Worksheet!$D$4,(IF(AND($S$12="Multi",$R$12="FY"),ROUND(((1+$M35)^(Worksheet!$B$20+1)*Worksheet!$E$9+(1+$M35)^(Worksheet!$B$20+2)*Worksheet!$E$10)/12*Request!$E35*Request!H35,0),(IF(AND($S$12="Multi",$R$12="PY"),ROUND($E35*H35*((1+$M35)^2)/12*Worksheet!$E$5,0),(IF(AND($S$12&lt;&gt;"Multi",$R$12="FY"),ROUND(((1+$S$12)^(Worksheet!$B$20+1)*Worksheet!$E$9+(1+$S$12)^(Worksheet!$B$20+2)*Worksheet!$E$10)/12*Request!$E35*Request!H35,0),ROUND($E35*H35*((1+$S$12)^2)/12*Worksheet!$E$5,0))))))),(IF(AND($S$12="Multi",$R$12="FY"),ROUND(((1+$M35)^(Worksheet!$B$20+2)*Worksheet!$E$9+(1+$M35)^(Worksheet!$B$20+3)*Worksheet!$E$10)/12*Request!$E35*Request!H35,0),(IF(AND($S$12="Multi",$R$12="PY"),ROUND($E35*H35*((1+$M35)^2)/12*Worksheet!$E$5,0),(IF(AND($S$12&lt;&gt;"Multi",$R$12="FY"),ROUND(((1+$S$12)^(Worksheet!$B$20+2)*Worksheet!$E$9+(1+$S$12)^(Worksheet!$B$20+3)*Worksheet!$E$10)/12*Request!$E35*Request!H35,0),ROUND($E35*H35*((1+$S$12)^2)/12*Worksheet!$E$5,0))))))))</f>
        <v>0</v>
      </c>
      <c r="Q35" s="178">
        <f>IF(Worksheet!$C$4=Worksheet!$D$4,(IF(AND($S$12="Multi",$R$12="FY"),ROUND(((1+$M35)^(Worksheet!$B$20+2)*Worksheet!$F$9+(1+$M35)^(Worksheet!$B$20+3)*Worksheet!$F$10)/12*Request!$E35*Request!$I35,0),(IF(AND($S$12="Multi",$R$12="PY"),ROUND($E35*$I35*((1+$M35)^3)/12*Worksheet!$F$5,0),(IF(AND($S$12&lt;&gt;"Multi",$R$12="FY"),ROUND(((1+$S$12)^(Worksheet!$B$20+2)*Worksheet!$F$9+(1+$S$12)^(Worksheet!$B$20+3)*Worksheet!$F$10)/12*Request!$E35*Request!$I35,0),ROUND($E35*$I35*((1+$S$12)^3)/12*Worksheet!$F$5,0))))))),(IF(AND($S$12="Multi",$R$12="FY"),ROUND(((1+$M35)^(Worksheet!$B$20+3)*Worksheet!$F$9+(1+$M35)^(Worksheet!$B$20+4)*Worksheet!$F$10)/12*Request!$E35*Request!$I35,0),(IF(AND($S$12="Multi",$R$12="PY"),ROUND($E35*$I35*((1+$M35)^3)/12*Worksheet!$F$5,0),(IF(AND($S$12&lt;&gt;"Multi",$R$12="FY"),ROUND(((1+$S$12)^(Worksheet!$B$20+3)*Worksheet!$F$9+(1+$S$12)^(Worksheet!$B$20+4)*Worksheet!$F$10)/12*Request!$E35*Request!$I35,0),ROUND($E35*$I35*((1+$S$12)^3)/12*Worksheet!$F$5,0))))))))</f>
        <v>0</v>
      </c>
      <c r="R35" s="178">
        <f>IF(Worksheet!$C$4=Worksheet!$D$4,(IF(AND($S$12="Multi",$R$12="FY"),ROUND(((1+$M35)^(Worksheet!$B$20+3)*Worksheet!$G$9+(1+$M35)^(Worksheet!$B$20+4)*Worksheet!$G$10)/12*Request!$E35*Request!$J35,0),(IF(AND($S$12="Multi",$R$12="PY"),ROUND($E35*$J35*((1+$M35)^4)/12*Worksheet!$G$5,0),(IF(AND($S$12&lt;&gt;"Multi",$R$12="FY"),ROUND(((1+$S$12)^(Worksheet!$B$20+3)*Worksheet!$G$9+(1+$S$12)^(Worksheet!$B$20+4)*Worksheet!$G$10)/12*Request!$E35*Request!$J35,0),ROUND($E35*$J35*((1+$S$12)^4)/12*Worksheet!$G$5,0))))))),(IF(AND($S$12="Multi",$R$12="FY"),ROUND(((1+$M35)^(Worksheet!$B$20+4)*Worksheet!$G$9+(1+$M35)^(Worksheet!$B$20+5)*Worksheet!$G$10)/12*Request!$E35*Request!$J35,0),(IF(AND($S$12="Multi",$R$12="PY"),ROUND($E35*$J35*((1+$M35)^4)/12*Worksheet!$G$5,0),(IF(AND($S$12&lt;&gt;"Multi",$R$12="FY"),ROUND(((1+$S$12)^(Worksheet!$B$20+4)*Worksheet!$G$9+(1+$S$12)^(Worksheet!$B$20+5)*Worksheet!$G$10)/12*Request!$E35*Request!$J35,0),ROUND($E35*$J35*((1+$S$12)^4)/12*Worksheet!$G$5,0))))))))</f>
        <v>0</v>
      </c>
      <c r="S35" s="143">
        <f t="shared" si="3"/>
        <v>0</v>
      </c>
      <c r="T35" s="187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</row>
    <row r="36" spans="1:41" hidden="1" x14ac:dyDescent="0.15">
      <c r="A36" s="147">
        <v>21</v>
      </c>
      <c r="B36" s="148"/>
      <c r="C36" s="148"/>
      <c r="D36" s="149"/>
      <c r="E36" s="150"/>
      <c r="F36" s="171"/>
      <c r="G36" s="171"/>
      <c r="H36" s="171"/>
      <c r="I36" s="171"/>
      <c r="J36" s="171"/>
      <c r="K36" s="145" t="s">
        <v>165</v>
      </c>
      <c r="L36" s="145">
        <v>12</v>
      </c>
      <c r="M36" s="146">
        <v>0.03</v>
      </c>
      <c r="N36" s="178">
        <f>IF(AND($S$12="Multi",$R$12="FY"),ROUND(((1+$M36)^Worksheet!$B$20*Worksheet!$C$9+(1+$M36)^(Worksheet!$B$20+1)*Worksheet!$C$10)/12*Request!$E36*Request!$F36,0),(IF(AND($S$12="Multi",$R$12="PY"),ROUND(E36*F36/12*Worksheet!$C$5,0),(IF(AND($S$12&lt;&gt;"Multi",$R$12="FY"),ROUND(((1+$S$12)^Worksheet!$B$20*Worksheet!$C$9+(1+$S$12)^(Worksheet!$B$20+1)*Worksheet!$C$10)/12*Request!$E36*Request!$F36,0),ROUND($E36*$F36/12*Worksheet!$C$5,0))))))</f>
        <v>0</v>
      </c>
      <c r="O36" s="178">
        <f>IF(Worksheet!$C$4=Worksheet!$D$4,(IF(AND($S$12="Multi",$R$12="FY"),ROUND(((1+$M36)^(Worksheet!$B$20)*Worksheet!$D$9+(1+$M36)^(Worksheet!$B$20+1)*Worksheet!$D$10)/12*Request!$E36*Request!$G36,0),(IF(AND($S$12="Multi",$R$12="PY"),ROUND($E36*$G36*(1+M36)/12*Worksheet!$D$5,0),(IF(AND($S$12&lt;&gt;"Multi",$R$12="FY"),ROUND(((1+$S$12)^(Worksheet!$B$20)*Worksheet!$D$9+(1+$S$12)^(Worksheet!$B$20+1)*Worksheet!$D$10)/12*Request!$E36*Request!$G36,0),ROUND($E36*$G36*(1+$S$12)/12*Worksheet!$D$5,0))))))),(IF(AND($S$12="Multi",$R$12="FY"),ROUND(((1+$M36)^(Worksheet!$B$20+1)*Worksheet!$D$9+(1+$M36)^(Worksheet!$B$20+2)*Worksheet!$D$10)/12*Request!$E36*Request!$G36,0),(IF(AND($S$12="Multi",$R$12="PY"),ROUND($E36*$G36*(1+M36)/12*Worksheet!$D$5,0),(IF(AND($S$12&lt;&gt;"Multi",$R$12="FY"),ROUND(((1+$S$12)^(Worksheet!$B$20+1)*Worksheet!$D$9+(1+$S$12)^(Worksheet!$B$20+2)*Worksheet!$D$10)/12*Request!$E36*Request!$G36,0),ROUND($E36*$G36*(1+$S$12)/12*Worksheet!$D$5,0))))))))</f>
        <v>0</v>
      </c>
      <c r="P36" s="178">
        <f>IF(Worksheet!$C$4=Worksheet!$D$4,(IF(AND($S$12="Multi",$R$12="FY"),ROUND(((1+$M36)^(Worksheet!$B$20+1)*Worksheet!$E$9+(1+$M36)^(Worksheet!$B$20+2)*Worksheet!$E$10)/12*Request!$E36*Request!H36,0),(IF(AND($S$12="Multi",$R$12="PY"),ROUND($E36*H36*((1+$M36)^2)/12*Worksheet!$E$5,0),(IF(AND($S$12&lt;&gt;"Multi",$R$12="FY"),ROUND(((1+$S$12)^(Worksheet!$B$20+1)*Worksheet!$E$9+(1+$S$12)^(Worksheet!$B$20+2)*Worksheet!$E$10)/12*Request!$E36*Request!H36,0),ROUND($E36*H36*((1+$S$12)^2)/12*Worksheet!$E$5,0))))))),(IF(AND($S$12="Multi",$R$12="FY"),ROUND(((1+$M36)^(Worksheet!$B$20+2)*Worksheet!$E$9+(1+$M36)^(Worksheet!$B$20+3)*Worksheet!$E$10)/12*Request!$E36*Request!H36,0),(IF(AND($S$12="Multi",$R$12="PY"),ROUND($E36*H36*((1+$M36)^2)/12*Worksheet!$E$5,0),(IF(AND($S$12&lt;&gt;"Multi",$R$12="FY"),ROUND(((1+$S$12)^(Worksheet!$B$20+2)*Worksheet!$E$9+(1+$S$12)^(Worksheet!$B$20+3)*Worksheet!$E$10)/12*Request!$E36*Request!H36,0),ROUND($E36*H36*((1+$S$12)^2)/12*Worksheet!$E$5,0))))))))</f>
        <v>0</v>
      </c>
      <c r="Q36" s="178">
        <f>IF(Worksheet!$C$4=Worksheet!$D$4,(IF(AND($S$12="Multi",$R$12="FY"),ROUND(((1+$M36)^(Worksheet!$B$20+2)*Worksheet!$F$9+(1+$M36)^(Worksheet!$B$20+3)*Worksheet!$F$10)/12*Request!$E36*Request!$I36,0),(IF(AND($S$12="Multi",$R$12="PY"),ROUND($E36*$I36*((1+$M36)^3)/12*Worksheet!$F$5,0),(IF(AND($S$12&lt;&gt;"Multi",$R$12="FY"),ROUND(((1+$S$12)^(Worksheet!$B$20+2)*Worksheet!$F$9+(1+$S$12)^(Worksheet!$B$20+3)*Worksheet!$F$10)/12*Request!$E36*Request!$I36,0),ROUND($E36*$I36*((1+$S$12)^3)/12*Worksheet!$F$5,0))))))),(IF(AND($S$12="Multi",$R$12="FY"),ROUND(((1+$M36)^(Worksheet!$B$20+3)*Worksheet!$F$9+(1+$M36)^(Worksheet!$B$20+4)*Worksheet!$F$10)/12*Request!$E36*Request!$I36,0),(IF(AND($S$12="Multi",$R$12="PY"),ROUND($E36*$I36*((1+$M36)^3)/12*Worksheet!$F$5,0),(IF(AND($S$12&lt;&gt;"Multi",$R$12="FY"),ROUND(((1+$S$12)^(Worksheet!$B$20+3)*Worksheet!$F$9+(1+$S$12)^(Worksheet!$B$20+4)*Worksheet!$F$10)/12*Request!$E36*Request!$I36,0),ROUND($E36*$I36*((1+$S$12)^3)/12*Worksheet!$F$5,0))))))))</f>
        <v>0</v>
      </c>
      <c r="R36" s="178">
        <f>IF(Worksheet!$C$4=Worksheet!$D$4,(IF(AND($S$12="Multi",$R$12="FY"),ROUND(((1+$M36)^(Worksheet!$B$20+3)*Worksheet!$G$9+(1+$M36)^(Worksheet!$B$20+4)*Worksheet!$G$10)/12*Request!$E36*Request!$J36,0),(IF(AND($S$12="Multi",$R$12="PY"),ROUND($E36*$J36*((1+$M36)^4)/12*Worksheet!$G$5,0),(IF(AND($S$12&lt;&gt;"Multi",$R$12="FY"),ROUND(((1+$S$12)^(Worksheet!$B$20+3)*Worksheet!$G$9+(1+$S$12)^(Worksheet!$B$20+4)*Worksheet!$G$10)/12*Request!$E36*Request!$J36,0),ROUND($E36*$J36*((1+$S$12)^4)/12*Worksheet!$G$5,0))))))),(IF(AND($S$12="Multi",$R$12="FY"),ROUND(((1+$M36)^(Worksheet!$B$20+4)*Worksheet!$G$9+(1+$M36)^(Worksheet!$B$20+5)*Worksheet!$G$10)/12*Request!$E36*Request!$J36,0),(IF(AND($S$12="Multi",$R$12="PY"),ROUND($E36*$J36*((1+$M36)^4)/12*Worksheet!$G$5,0),(IF(AND($S$12&lt;&gt;"Multi",$R$12="FY"),ROUND(((1+$S$12)^(Worksheet!$B$20+4)*Worksheet!$G$9+(1+$S$12)^(Worksheet!$B$20+5)*Worksheet!$G$10)/12*Request!$E36*Request!$J36,0),ROUND($E36*$J36*((1+$S$12)^4)/12*Worksheet!$G$5,0))))))))</f>
        <v>0</v>
      </c>
      <c r="S36" s="143">
        <f t="shared" si="3"/>
        <v>0</v>
      </c>
      <c r="T36" s="187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</row>
    <row r="37" spans="1:41" hidden="1" x14ac:dyDescent="0.15">
      <c r="A37" s="147">
        <v>22</v>
      </c>
      <c r="B37" s="148"/>
      <c r="C37" s="148"/>
      <c r="D37" s="149"/>
      <c r="E37" s="150"/>
      <c r="F37" s="171"/>
      <c r="G37" s="171"/>
      <c r="H37" s="171"/>
      <c r="I37" s="171"/>
      <c r="J37" s="171"/>
      <c r="K37" s="145" t="s">
        <v>165</v>
      </c>
      <c r="L37" s="145">
        <v>12</v>
      </c>
      <c r="M37" s="146">
        <v>0.03</v>
      </c>
      <c r="N37" s="178">
        <f>IF(AND($S$12="Multi",$R$12="FY"),ROUND(((1+$M37)^Worksheet!$B$20*Worksheet!$C$9+(1+$M37)^(Worksheet!$B$20+1)*Worksheet!$C$10)/12*Request!$E37*Request!$F37,0),(IF(AND($S$12="Multi",$R$12="PY"),ROUND(E37*F37/12*Worksheet!$C$5,0),(IF(AND($S$12&lt;&gt;"Multi",$R$12="FY"),ROUND(((1+$S$12)^Worksheet!$B$20*Worksheet!$C$9+(1+$S$12)^(Worksheet!$B$20+1)*Worksheet!$C$10)/12*Request!$E37*Request!$F37,0),ROUND($E37*$F37/12*Worksheet!$C$5,0))))))</f>
        <v>0</v>
      </c>
      <c r="O37" s="178">
        <f>IF(Worksheet!$C$4=Worksheet!$D$4,(IF(AND($S$12="Multi",$R$12="FY"),ROUND(((1+$M37)^(Worksheet!$B$20)*Worksheet!$D$9+(1+$M37)^(Worksheet!$B$20+1)*Worksheet!$D$10)/12*Request!$E37*Request!$G37,0),(IF(AND($S$12="Multi",$R$12="PY"),ROUND($E37*$G37*(1+M37)/12*Worksheet!$D$5,0),(IF(AND($S$12&lt;&gt;"Multi",$R$12="FY"),ROUND(((1+$S$12)^(Worksheet!$B$20)*Worksheet!$D$9+(1+$S$12)^(Worksheet!$B$20+1)*Worksheet!$D$10)/12*Request!$E37*Request!$G37,0),ROUND($E37*$G37*(1+$S$12)/12*Worksheet!$D$5,0))))))),(IF(AND($S$12="Multi",$R$12="FY"),ROUND(((1+$M37)^(Worksheet!$B$20+1)*Worksheet!$D$9+(1+$M37)^(Worksheet!$B$20+2)*Worksheet!$D$10)/12*Request!$E37*Request!$G37,0),(IF(AND($S$12="Multi",$R$12="PY"),ROUND($E37*$G37*(1+M37)/12*Worksheet!$D$5,0),(IF(AND($S$12&lt;&gt;"Multi",$R$12="FY"),ROUND(((1+$S$12)^(Worksheet!$B$20+1)*Worksheet!$D$9+(1+$S$12)^(Worksheet!$B$20+2)*Worksheet!$D$10)/12*Request!$E37*Request!$G37,0),ROUND($E37*$G37*(1+$S$12)/12*Worksheet!$D$5,0))))))))</f>
        <v>0</v>
      </c>
      <c r="P37" s="178">
        <f>IF(Worksheet!$C$4=Worksheet!$D$4,(IF(AND($S$12="Multi",$R$12="FY"),ROUND(((1+$M37)^(Worksheet!$B$20+1)*Worksheet!$E$9+(1+$M37)^(Worksheet!$B$20+2)*Worksheet!$E$10)/12*Request!$E37*Request!H37,0),(IF(AND($S$12="Multi",$R$12="PY"),ROUND($E37*H37*((1+$M37)^2)/12*Worksheet!$E$5,0),(IF(AND($S$12&lt;&gt;"Multi",$R$12="FY"),ROUND(((1+$S$12)^(Worksheet!$B$20+1)*Worksheet!$E$9+(1+$S$12)^(Worksheet!$B$20+2)*Worksheet!$E$10)/12*Request!$E37*Request!H37,0),ROUND($E37*H37*((1+$S$12)^2)/12*Worksheet!$E$5,0))))))),(IF(AND($S$12="Multi",$R$12="FY"),ROUND(((1+$M37)^(Worksheet!$B$20+2)*Worksheet!$E$9+(1+$M37)^(Worksheet!$B$20+3)*Worksheet!$E$10)/12*Request!$E37*Request!H37,0),(IF(AND($S$12="Multi",$R$12="PY"),ROUND($E37*H37*((1+$M37)^2)/12*Worksheet!$E$5,0),(IF(AND($S$12&lt;&gt;"Multi",$R$12="FY"),ROUND(((1+$S$12)^(Worksheet!$B$20+2)*Worksheet!$E$9+(1+$S$12)^(Worksheet!$B$20+3)*Worksheet!$E$10)/12*Request!$E37*Request!H37,0),ROUND($E37*H37*((1+$S$12)^2)/12*Worksheet!$E$5,0))))))))</f>
        <v>0</v>
      </c>
      <c r="Q37" s="178">
        <f>IF(Worksheet!$C$4=Worksheet!$D$4,(IF(AND($S$12="Multi",$R$12="FY"),ROUND(((1+$M37)^(Worksheet!$B$20+2)*Worksheet!$F$9+(1+$M37)^(Worksheet!$B$20+3)*Worksheet!$F$10)/12*Request!$E37*Request!$I37,0),(IF(AND($S$12="Multi",$R$12="PY"),ROUND($E37*$I37*((1+$M37)^3)/12*Worksheet!$F$5,0),(IF(AND($S$12&lt;&gt;"Multi",$R$12="FY"),ROUND(((1+$S$12)^(Worksheet!$B$20+2)*Worksheet!$F$9+(1+$S$12)^(Worksheet!$B$20+3)*Worksheet!$F$10)/12*Request!$E37*Request!$I37,0),ROUND($E37*$I37*((1+$S$12)^3)/12*Worksheet!$F$5,0))))))),(IF(AND($S$12="Multi",$R$12="FY"),ROUND(((1+$M37)^(Worksheet!$B$20+3)*Worksheet!$F$9+(1+$M37)^(Worksheet!$B$20+4)*Worksheet!$F$10)/12*Request!$E37*Request!$I37,0),(IF(AND($S$12="Multi",$R$12="PY"),ROUND($E37*$I37*((1+$M37)^3)/12*Worksheet!$F$5,0),(IF(AND($S$12&lt;&gt;"Multi",$R$12="FY"),ROUND(((1+$S$12)^(Worksheet!$B$20+3)*Worksheet!$F$9+(1+$S$12)^(Worksheet!$B$20+4)*Worksheet!$F$10)/12*Request!$E37*Request!$I37,0),ROUND($E37*$I37*((1+$S$12)^3)/12*Worksheet!$F$5,0))))))))</f>
        <v>0</v>
      </c>
      <c r="R37" s="178">
        <f>IF(Worksheet!$C$4=Worksheet!$D$4,(IF(AND($S$12="Multi",$R$12="FY"),ROUND(((1+$M37)^(Worksheet!$B$20+3)*Worksheet!$G$9+(1+$M37)^(Worksheet!$B$20+4)*Worksheet!$G$10)/12*Request!$E37*Request!$J37,0),(IF(AND($S$12="Multi",$R$12="PY"),ROUND($E37*$J37*((1+$M37)^4)/12*Worksheet!$G$5,0),(IF(AND($S$12&lt;&gt;"Multi",$R$12="FY"),ROUND(((1+$S$12)^(Worksheet!$B$20+3)*Worksheet!$G$9+(1+$S$12)^(Worksheet!$B$20+4)*Worksheet!$G$10)/12*Request!$E37*Request!$J37,0),ROUND($E37*$J37*((1+$S$12)^4)/12*Worksheet!$G$5,0))))))),(IF(AND($S$12="Multi",$R$12="FY"),ROUND(((1+$M37)^(Worksheet!$B$20+4)*Worksheet!$G$9+(1+$M37)^(Worksheet!$B$20+5)*Worksheet!$G$10)/12*Request!$E37*Request!$J37,0),(IF(AND($S$12="Multi",$R$12="PY"),ROUND($E37*$J37*((1+$M37)^4)/12*Worksheet!$G$5,0),(IF(AND($S$12&lt;&gt;"Multi",$R$12="FY"),ROUND(((1+$S$12)^(Worksheet!$B$20+4)*Worksheet!$G$9+(1+$S$12)^(Worksheet!$B$20+5)*Worksheet!$G$10)/12*Request!$E37*Request!$J37,0),ROUND($E37*$J37*((1+$S$12)^4)/12*Worksheet!$G$5,0))))))))</f>
        <v>0</v>
      </c>
      <c r="S37" s="143">
        <f t="shared" si="3"/>
        <v>0</v>
      </c>
      <c r="T37" s="187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</row>
    <row r="38" spans="1:41" hidden="1" x14ac:dyDescent="0.15">
      <c r="A38" s="147">
        <v>23</v>
      </c>
      <c r="B38" s="148"/>
      <c r="C38" s="148"/>
      <c r="D38" s="149"/>
      <c r="E38" s="150"/>
      <c r="F38" s="171"/>
      <c r="G38" s="171"/>
      <c r="H38" s="171"/>
      <c r="I38" s="171"/>
      <c r="J38" s="171"/>
      <c r="K38" s="145" t="s">
        <v>165</v>
      </c>
      <c r="L38" s="145">
        <v>12</v>
      </c>
      <c r="M38" s="146">
        <v>0.03</v>
      </c>
      <c r="N38" s="178">
        <f>IF(AND($S$12="Multi",$R$12="FY"),ROUND(((1+$M38)^Worksheet!$B$20*Worksheet!$C$9+(1+$M38)^(Worksheet!$B$20+1)*Worksheet!$C$10)/12*Request!$E38*Request!$F38,0),(IF(AND($S$12="Multi",$R$12="PY"),ROUND(E38*F38/12*Worksheet!$C$5,0),(IF(AND($S$12&lt;&gt;"Multi",$R$12="FY"),ROUND(((1+$S$12)^Worksheet!$B$20*Worksheet!$C$9+(1+$S$12)^(Worksheet!$B$20+1)*Worksheet!$C$10)/12*Request!$E38*Request!$F38,0),ROUND($E38*$F38/12*Worksheet!$C$5,0))))))</f>
        <v>0</v>
      </c>
      <c r="O38" s="178">
        <f>IF(Worksheet!$C$4=Worksheet!$D$4,(IF(AND($S$12="Multi",$R$12="FY"),ROUND(((1+$M38)^(Worksheet!$B$20)*Worksheet!$D$9+(1+$M38)^(Worksheet!$B$20+1)*Worksheet!$D$10)/12*Request!$E38*Request!$G38,0),(IF(AND($S$12="Multi",$R$12="PY"),ROUND($E38*$G38*(1+M38)/12*Worksheet!$D$5,0),(IF(AND($S$12&lt;&gt;"Multi",$R$12="FY"),ROUND(((1+$S$12)^(Worksheet!$B$20)*Worksheet!$D$9+(1+$S$12)^(Worksheet!$B$20+1)*Worksheet!$D$10)/12*Request!$E38*Request!$G38,0),ROUND($E38*$G38*(1+$S$12)/12*Worksheet!$D$5,0))))))),(IF(AND($S$12="Multi",$R$12="FY"),ROUND(((1+$M38)^(Worksheet!$B$20+1)*Worksheet!$D$9+(1+$M38)^(Worksheet!$B$20+2)*Worksheet!$D$10)/12*Request!$E38*Request!$G38,0),(IF(AND($S$12="Multi",$R$12="PY"),ROUND($E38*$G38*(1+M38)/12*Worksheet!$D$5,0),(IF(AND($S$12&lt;&gt;"Multi",$R$12="FY"),ROUND(((1+$S$12)^(Worksheet!$B$20+1)*Worksheet!$D$9+(1+$S$12)^(Worksheet!$B$20+2)*Worksheet!$D$10)/12*Request!$E38*Request!$G38,0),ROUND($E38*$G38*(1+$S$12)/12*Worksheet!$D$5,0))))))))</f>
        <v>0</v>
      </c>
      <c r="P38" s="178">
        <f>IF(Worksheet!$C$4=Worksheet!$D$4,(IF(AND($S$12="Multi",$R$12="FY"),ROUND(((1+$M38)^(Worksheet!$B$20+1)*Worksheet!$E$9+(1+$M38)^(Worksheet!$B$20+2)*Worksheet!$E$10)/12*Request!$E38*Request!H38,0),(IF(AND($S$12="Multi",$R$12="PY"),ROUND($E38*H38*((1+$M38)^2)/12*Worksheet!$E$5,0),(IF(AND($S$12&lt;&gt;"Multi",$R$12="FY"),ROUND(((1+$S$12)^(Worksheet!$B$20+1)*Worksheet!$E$9+(1+$S$12)^(Worksheet!$B$20+2)*Worksheet!$E$10)/12*Request!$E38*Request!H38,0),ROUND($E38*H38*((1+$S$12)^2)/12*Worksheet!$E$5,0))))))),(IF(AND($S$12="Multi",$R$12="FY"),ROUND(((1+$M38)^(Worksheet!$B$20+2)*Worksheet!$E$9+(1+$M38)^(Worksheet!$B$20+3)*Worksheet!$E$10)/12*Request!$E38*Request!H38,0),(IF(AND($S$12="Multi",$R$12="PY"),ROUND($E38*H38*((1+$M38)^2)/12*Worksheet!$E$5,0),(IF(AND($S$12&lt;&gt;"Multi",$R$12="FY"),ROUND(((1+$S$12)^(Worksheet!$B$20+2)*Worksheet!$E$9+(1+$S$12)^(Worksheet!$B$20+3)*Worksheet!$E$10)/12*Request!$E38*Request!H38,0),ROUND($E38*H38*((1+$S$12)^2)/12*Worksheet!$E$5,0))))))))</f>
        <v>0</v>
      </c>
      <c r="Q38" s="178">
        <f>IF(Worksheet!$C$4=Worksheet!$D$4,(IF(AND($S$12="Multi",$R$12="FY"),ROUND(((1+$M38)^(Worksheet!$B$20+2)*Worksheet!$F$9+(1+$M38)^(Worksheet!$B$20+3)*Worksheet!$F$10)/12*Request!$E38*Request!$I38,0),(IF(AND($S$12="Multi",$R$12="PY"),ROUND($E38*$I38*((1+$M38)^3)/12*Worksheet!$F$5,0),(IF(AND($S$12&lt;&gt;"Multi",$R$12="FY"),ROUND(((1+$S$12)^(Worksheet!$B$20+2)*Worksheet!$F$9+(1+$S$12)^(Worksheet!$B$20+3)*Worksheet!$F$10)/12*Request!$E38*Request!$I38,0),ROUND($E38*$I38*((1+$S$12)^3)/12*Worksheet!$F$5,0))))))),(IF(AND($S$12="Multi",$R$12="FY"),ROUND(((1+$M38)^(Worksheet!$B$20+3)*Worksheet!$F$9+(1+$M38)^(Worksheet!$B$20+4)*Worksheet!$F$10)/12*Request!$E38*Request!$I38,0),(IF(AND($S$12="Multi",$R$12="PY"),ROUND($E38*$I38*((1+$M38)^3)/12*Worksheet!$F$5,0),(IF(AND($S$12&lt;&gt;"Multi",$R$12="FY"),ROUND(((1+$S$12)^(Worksheet!$B$20+3)*Worksheet!$F$9+(1+$S$12)^(Worksheet!$B$20+4)*Worksheet!$F$10)/12*Request!$E38*Request!$I38,0),ROUND($E38*$I38*((1+$S$12)^3)/12*Worksheet!$F$5,0))))))))</f>
        <v>0</v>
      </c>
      <c r="R38" s="178">
        <f>IF(Worksheet!$C$4=Worksheet!$D$4,(IF(AND($S$12="Multi",$R$12="FY"),ROUND(((1+$M38)^(Worksheet!$B$20+3)*Worksheet!$G$9+(1+$M38)^(Worksheet!$B$20+4)*Worksheet!$G$10)/12*Request!$E38*Request!$J38,0),(IF(AND($S$12="Multi",$R$12="PY"),ROUND($E38*$J38*((1+$M38)^4)/12*Worksheet!$G$5,0),(IF(AND($S$12&lt;&gt;"Multi",$R$12="FY"),ROUND(((1+$S$12)^(Worksheet!$B$20+3)*Worksheet!$G$9+(1+$S$12)^(Worksheet!$B$20+4)*Worksheet!$G$10)/12*Request!$E38*Request!$J38,0),ROUND($E38*$J38*((1+$S$12)^4)/12*Worksheet!$G$5,0))))))),(IF(AND($S$12="Multi",$R$12="FY"),ROUND(((1+$M38)^(Worksheet!$B$20+4)*Worksheet!$G$9+(1+$M38)^(Worksheet!$B$20+5)*Worksheet!$G$10)/12*Request!$E38*Request!$J38,0),(IF(AND($S$12="Multi",$R$12="PY"),ROUND($E38*$J38*((1+$M38)^4)/12*Worksheet!$G$5,0),(IF(AND($S$12&lt;&gt;"Multi",$R$12="FY"),ROUND(((1+$S$12)^(Worksheet!$B$20+4)*Worksheet!$G$9+(1+$S$12)^(Worksheet!$B$20+5)*Worksheet!$G$10)/12*Request!$E38*Request!$J38,0),ROUND($E38*$J38*((1+$S$12)^4)/12*Worksheet!$G$5,0))))))))</f>
        <v>0</v>
      </c>
      <c r="S38" s="143">
        <f t="shared" si="3"/>
        <v>0</v>
      </c>
      <c r="T38" s="187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</row>
    <row r="39" spans="1:41" hidden="1" x14ac:dyDescent="0.15">
      <c r="A39" s="147">
        <v>24</v>
      </c>
      <c r="B39" s="148"/>
      <c r="C39" s="148"/>
      <c r="D39" s="149"/>
      <c r="E39" s="150"/>
      <c r="F39" s="171"/>
      <c r="G39" s="171"/>
      <c r="H39" s="171"/>
      <c r="I39" s="171"/>
      <c r="J39" s="171"/>
      <c r="K39" s="145" t="s">
        <v>165</v>
      </c>
      <c r="L39" s="145">
        <v>12</v>
      </c>
      <c r="M39" s="146">
        <v>0.03</v>
      </c>
      <c r="N39" s="178">
        <f>IF(AND($S$12="Multi",$R$12="FY"),ROUND(((1+$M39)^Worksheet!$B$20*Worksheet!$C$9+(1+$M39)^(Worksheet!$B$20+1)*Worksheet!$C$10)/12*Request!$E39*Request!$F39,0),(IF(AND($S$12="Multi",$R$12="PY"),ROUND(E39*F39/12*Worksheet!$C$5,0),(IF(AND($S$12&lt;&gt;"Multi",$R$12="FY"),ROUND(((1+$S$12)^Worksheet!$B$20*Worksheet!$C$9+(1+$S$12)^(Worksheet!$B$20+1)*Worksheet!$C$10)/12*Request!$E39*Request!$F39,0),ROUND($E39*$F39/12*Worksheet!$C$5,0))))))</f>
        <v>0</v>
      </c>
      <c r="O39" s="178">
        <f>IF(Worksheet!$C$4=Worksheet!$D$4,(IF(AND($S$12="Multi",$R$12="FY"),ROUND(((1+$M39)^(Worksheet!$B$20)*Worksheet!$D$9+(1+$M39)^(Worksheet!$B$20+1)*Worksheet!$D$10)/12*Request!$E39*Request!$G39,0),(IF(AND($S$12="Multi",$R$12="PY"),ROUND($E39*$G39*(1+M39)/12*Worksheet!$D$5,0),(IF(AND($S$12&lt;&gt;"Multi",$R$12="FY"),ROUND(((1+$S$12)^(Worksheet!$B$20)*Worksheet!$D$9+(1+$S$12)^(Worksheet!$B$20+1)*Worksheet!$D$10)/12*Request!$E39*Request!$G39,0),ROUND($E39*$G39*(1+$S$12)/12*Worksheet!$D$5,0))))))),(IF(AND($S$12="Multi",$R$12="FY"),ROUND(((1+$M39)^(Worksheet!$B$20+1)*Worksheet!$D$9+(1+$M39)^(Worksheet!$B$20+2)*Worksheet!$D$10)/12*Request!$E39*Request!$G39,0),(IF(AND($S$12="Multi",$R$12="PY"),ROUND($E39*$G39*(1+M39)/12*Worksheet!$D$5,0),(IF(AND($S$12&lt;&gt;"Multi",$R$12="FY"),ROUND(((1+$S$12)^(Worksheet!$B$20+1)*Worksheet!$D$9+(1+$S$12)^(Worksheet!$B$20+2)*Worksheet!$D$10)/12*Request!$E39*Request!$G39,0),ROUND($E39*$G39*(1+$S$12)/12*Worksheet!$D$5,0))))))))</f>
        <v>0</v>
      </c>
      <c r="P39" s="178">
        <f>IF(Worksheet!$C$4=Worksheet!$D$4,(IF(AND($S$12="Multi",$R$12="FY"),ROUND(((1+$M39)^(Worksheet!$B$20+1)*Worksheet!$E$9+(1+$M39)^(Worksheet!$B$20+2)*Worksheet!$E$10)/12*Request!$E39*Request!H39,0),(IF(AND($S$12="Multi",$R$12="PY"),ROUND($E39*H39*((1+$M39)^2)/12*Worksheet!$E$5,0),(IF(AND($S$12&lt;&gt;"Multi",$R$12="FY"),ROUND(((1+$S$12)^(Worksheet!$B$20+1)*Worksheet!$E$9+(1+$S$12)^(Worksheet!$B$20+2)*Worksheet!$E$10)/12*Request!$E39*Request!H39,0),ROUND($E39*H39*((1+$S$12)^2)/12*Worksheet!$E$5,0))))))),(IF(AND($S$12="Multi",$R$12="FY"),ROUND(((1+$M39)^(Worksheet!$B$20+2)*Worksheet!$E$9+(1+$M39)^(Worksheet!$B$20+3)*Worksheet!$E$10)/12*Request!$E39*Request!H39,0),(IF(AND($S$12="Multi",$R$12="PY"),ROUND($E39*H39*((1+$M39)^2)/12*Worksheet!$E$5,0),(IF(AND($S$12&lt;&gt;"Multi",$R$12="FY"),ROUND(((1+$S$12)^(Worksheet!$B$20+2)*Worksheet!$E$9+(1+$S$12)^(Worksheet!$B$20+3)*Worksheet!$E$10)/12*Request!$E39*Request!H39,0),ROUND($E39*H39*((1+$S$12)^2)/12*Worksheet!$E$5,0))))))))</f>
        <v>0</v>
      </c>
      <c r="Q39" s="178">
        <f>IF(Worksheet!$C$4=Worksheet!$D$4,(IF(AND($S$12="Multi",$R$12="FY"),ROUND(((1+$M39)^(Worksheet!$B$20+2)*Worksheet!$F$9+(1+$M39)^(Worksheet!$B$20+3)*Worksheet!$F$10)/12*Request!$E39*Request!$I39,0),(IF(AND($S$12="Multi",$R$12="PY"),ROUND($E39*$I39*((1+$M39)^3)/12*Worksheet!$F$5,0),(IF(AND($S$12&lt;&gt;"Multi",$R$12="FY"),ROUND(((1+$S$12)^(Worksheet!$B$20+2)*Worksheet!$F$9+(1+$S$12)^(Worksheet!$B$20+3)*Worksheet!$F$10)/12*Request!$E39*Request!$I39,0),ROUND($E39*$I39*((1+$S$12)^3)/12*Worksheet!$F$5,0))))))),(IF(AND($S$12="Multi",$R$12="FY"),ROUND(((1+$M39)^(Worksheet!$B$20+3)*Worksheet!$F$9+(1+$M39)^(Worksheet!$B$20+4)*Worksheet!$F$10)/12*Request!$E39*Request!$I39,0),(IF(AND($S$12="Multi",$R$12="PY"),ROUND($E39*$I39*((1+$M39)^3)/12*Worksheet!$F$5,0),(IF(AND($S$12&lt;&gt;"Multi",$R$12="FY"),ROUND(((1+$S$12)^(Worksheet!$B$20+3)*Worksheet!$F$9+(1+$S$12)^(Worksheet!$B$20+4)*Worksheet!$F$10)/12*Request!$E39*Request!$I39,0),ROUND($E39*$I39*((1+$S$12)^3)/12*Worksheet!$F$5,0))))))))</f>
        <v>0</v>
      </c>
      <c r="R39" s="178">
        <f>IF(Worksheet!$C$4=Worksheet!$D$4,(IF(AND($S$12="Multi",$R$12="FY"),ROUND(((1+$M39)^(Worksheet!$B$20+3)*Worksheet!$G$9+(1+$M39)^(Worksheet!$B$20+4)*Worksheet!$G$10)/12*Request!$E39*Request!$J39,0),(IF(AND($S$12="Multi",$R$12="PY"),ROUND($E39*$J39*((1+$M39)^4)/12*Worksheet!$G$5,0),(IF(AND($S$12&lt;&gt;"Multi",$R$12="FY"),ROUND(((1+$S$12)^(Worksheet!$B$20+3)*Worksheet!$G$9+(1+$S$12)^(Worksheet!$B$20+4)*Worksheet!$G$10)/12*Request!$E39*Request!$J39,0),ROUND($E39*$J39*((1+$S$12)^4)/12*Worksheet!$G$5,0))))))),(IF(AND($S$12="Multi",$R$12="FY"),ROUND(((1+$M39)^(Worksheet!$B$20+4)*Worksheet!$G$9+(1+$M39)^(Worksheet!$B$20+5)*Worksheet!$G$10)/12*Request!$E39*Request!$J39,0),(IF(AND($S$12="Multi",$R$12="PY"),ROUND($E39*$J39*((1+$M39)^4)/12*Worksheet!$G$5,0),(IF(AND($S$12&lt;&gt;"Multi",$R$12="FY"),ROUND(((1+$S$12)^(Worksheet!$B$20+4)*Worksheet!$G$9+(1+$S$12)^(Worksheet!$B$20+5)*Worksheet!$G$10)/12*Request!$E39*Request!$J39,0),ROUND($E39*$J39*((1+$S$12)^4)/12*Worksheet!$G$5,0))))))))</f>
        <v>0</v>
      </c>
      <c r="S39" s="143">
        <f t="shared" si="3"/>
        <v>0</v>
      </c>
      <c r="T39" s="187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</row>
    <row r="40" spans="1:41" x14ac:dyDescent="0.15">
      <c r="A40" s="257" t="s">
        <v>5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9"/>
      <c r="N40" s="144">
        <f>SUM(N16:N23)</f>
        <v>26980</v>
      </c>
      <c r="O40" s="144">
        <f t="shared" ref="O40:S40" si="4">SUM(O16:O39)</f>
        <v>0</v>
      </c>
      <c r="P40" s="144">
        <f t="shared" si="4"/>
        <v>0</v>
      </c>
      <c r="Q40" s="144">
        <f t="shared" si="4"/>
        <v>0</v>
      </c>
      <c r="R40" s="144">
        <f t="shared" si="4"/>
        <v>0</v>
      </c>
      <c r="S40" s="144">
        <f t="shared" si="4"/>
        <v>26980</v>
      </c>
      <c r="T40" s="189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</row>
    <row r="41" spans="1:41" ht="9" customHeight="1" x14ac:dyDescent="0.15">
      <c r="A41" s="51"/>
      <c r="B41" s="51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3"/>
      <c r="P41" s="53"/>
      <c r="Q41" s="53"/>
      <c r="R41" s="53"/>
      <c r="S41" s="53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</row>
    <row r="42" spans="1:41" x14ac:dyDescent="0.15">
      <c r="A42" s="283" t="s">
        <v>16</v>
      </c>
      <c r="B42" s="284"/>
      <c r="C42" s="285"/>
      <c r="D42" s="204"/>
      <c r="E42" s="97" t="s">
        <v>17</v>
      </c>
      <c r="F42" s="278" t="s">
        <v>17</v>
      </c>
      <c r="G42" s="279"/>
      <c r="H42" s="278" t="s">
        <v>17</v>
      </c>
      <c r="I42" s="279"/>
      <c r="J42" s="278" t="s">
        <v>17</v>
      </c>
      <c r="K42" s="279"/>
      <c r="L42" s="278" t="s">
        <v>17</v>
      </c>
      <c r="M42" s="279"/>
      <c r="N42" s="50" t="str">
        <f>N13</f>
        <v>Period 1</v>
      </c>
      <c r="O42" s="50" t="str">
        <f>O13</f>
        <v>Period 2</v>
      </c>
      <c r="P42" s="50" t="str">
        <f>P13</f>
        <v>Period 3</v>
      </c>
      <c r="Q42" s="50" t="str">
        <f>Q13</f>
        <v>Period 4</v>
      </c>
      <c r="R42" s="50" t="str">
        <f>R13</f>
        <v>Period 5</v>
      </c>
      <c r="S42" s="50" t="s">
        <v>12</v>
      </c>
      <c r="T42" s="180"/>
      <c r="U42" s="209" t="s">
        <v>193</v>
      </c>
      <c r="V42" s="209"/>
      <c r="W42" s="209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</row>
    <row r="43" spans="1:41" x14ac:dyDescent="0.15">
      <c r="A43" s="91">
        <v>1</v>
      </c>
      <c r="B43" s="276" t="str">
        <f>B16</f>
        <v xml:space="preserve">PI #1 </v>
      </c>
      <c r="C43" s="277"/>
      <c r="D43" s="208"/>
      <c r="E43" s="207">
        <v>26.1</v>
      </c>
      <c r="F43" s="271"/>
      <c r="G43" s="272"/>
      <c r="H43" s="271">
        <v>26.1</v>
      </c>
      <c r="I43" s="272">
        <v>26.1</v>
      </c>
      <c r="J43" s="273"/>
      <c r="K43" s="274"/>
      <c r="L43" s="244"/>
      <c r="M43" s="245"/>
      <c r="N43" s="196">
        <f>N16*E43/100</f>
        <v>2474.2800000000002</v>
      </c>
      <c r="O43" s="196">
        <f t="shared" ref="N43:O48" si="5">O16*F43/100</f>
        <v>0</v>
      </c>
      <c r="P43" s="196">
        <f>P16*H43/100</f>
        <v>0</v>
      </c>
      <c r="Q43" s="178">
        <f>IF(Q16=0,0,IF(AND(#REF!="F-SMRA",Q16=0),0,IF(AND(#REF!="F-SMRB",Q16=0),0,IF(AND(#REF!="F-SMRC",Q16=0),0,IF(#REF!=Worksheet!$A$68,Worksheet!H301,IF(#REF!=Worksheet!$A$69,Worksheet!H301,IF(#REF!=Worksheet!$A$70,Worksheet!H301,ROUND((Request!Q16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16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3" s="178">
        <f>IF(R16=0,0,IF(AND(#REF!="F-SMRA",R16=0),0,IF(AND(#REF!="F-SMRB",R16=0),0,IF(AND(#REF!="F-SMRC",R16=0),0,IF(#REF!=Worksheet!$A$68,Worksheet!J301,IF(#REF!=Worksheet!$A$69,Worksheet!J301,IF(#REF!=Worksheet!$A$70,Worksheet!J301,ROUND((Request!R16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16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3" s="142">
        <f>SUM(N43:R43)</f>
        <v>2474.2800000000002</v>
      </c>
      <c r="T43" s="188"/>
      <c r="U43" s="180" t="s">
        <v>194</v>
      </c>
      <c r="V43" s="206">
        <v>0.26100000000000001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</row>
    <row r="44" spans="1:41" ht="12" customHeight="1" x14ac:dyDescent="0.15">
      <c r="A44" s="91">
        <v>2</v>
      </c>
      <c r="B44" s="276" t="str">
        <f t="shared" ref="B44:B48" si="6">B17</f>
        <v>PI #2</v>
      </c>
      <c r="C44" s="277"/>
      <c r="D44" s="208"/>
      <c r="E44" s="172">
        <v>26.1</v>
      </c>
      <c r="F44" s="271"/>
      <c r="G44" s="272"/>
      <c r="H44" s="271">
        <v>34.1</v>
      </c>
      <c r="I44" s="272">
        <v>34.1</v>
      </c>
      <c r="J44" s="273"/>
      <c r="K44" s="274"/>
      <c r="L44" s="244"/>
      <c r="M44" s="245"/>
      <c r="N44" s="196">
        <f t="shared" si="5"/>
        <v>978.75</v>
      </c>
      <c r="O44" s="196">
        <f t="shared" si="5"/>
        <v>0</v>
      </c>
      <c r="P44" s="196">
        <f>P17*H44/100</f>
        <v>0</v>
      </c>
      <c r="Q44" s="178">
        <f>IF(Q17=0,0,IF(AND(#REF!="F-SMRA",Q17=0),0,IF(AND(#REF!="F-SMRB",Q17=0),0,IF(AND(#REF!="F-SMRC",Q17=0),0,IF(#REF!=Worksheet!$A$68,Worksheet!H302,IF(#REF!=Worksheet!$A$69,Worksheet!H302,IF(#REF!=Worksheet!$A$70,Worksheet!H302,ROUND((Request!Q17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17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4" s="178">
        <f>IF(R17=0,0,IF(AND(#REF!="F-SMRA",R17=0),0,IF(AND(#REF!="F-SMRB",R17=0),0,IF(AND(#REF!="F-SMRC",R17=0),0,IF(#REF!=Worksheet!$A$68,Worksheet!J302,IF(#REF!=Worksheet!$A$69,Worksheet!J302,IF(#REF!=Worksheet!$A$70,Worksheet!J302,ROUND((Request!R17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17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4" s="142">
        <f t="shared" ref="S44:S66" si="7">SUM(N44:R44)</f>
        <v>978.75</v>
      </c>
      <c r="T44" s="188"/>
      <c r="U44" s="180" t="s">
        <v>195</v>
      </c>
      <c r="V44" s="206">
        <v>0.34100000000000003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</row>
    <row r="45" spans="1:41" ht="12" customHeight="1" x14ac:dyDescent="0.15">
      <c r="A45" s="91">
        <v>3</v>
      </c>
      <c r="B45" s="276" t="str">
        <f t="shared" si="6"/>
        <v>TBN</v>
      </c>
      <c r="C45" s="277"/>
      <c r="D45" s="208"/>
      <c r="E45" s="172">
        <v>40.5</v>
      </c>
      <c r="F45" s="271"/>
      <c r="G45" s="272"/>
      <c r="H45" s="271">
        <v>40.5</v>
      </c>
      <c r="I45" s="272">
        <v>40.5</v>
      </c>
      <c r="J45" s="273"/>
      <c r="K45" s="274"/>
      <c r="L45" s="244"/>
      <c r="M45" s="245"/>
      <c r="N45" s="196">
        <f t="shared" si="5"/>
        <v>5062.5</v>
      </c>
      <c r="O45" s="196">
        <f t="shared" si="5"/>
        <v>0</v>
      </c>
      <c r="P45" s="196">
        <f>P18*H45/100</f>
        <v>0</v>
      </c>
      <c r="Q45" s="178">
        <f>IF(Q18=0,0,IF(AND(#REF!="F-SMRA",Q18=0),0,IF(AND(#REF!="F-SMRB",Q18=0),0,IF(AND(#REF!="F-SMRC",Q18=0),0,IF(#REF!=Worksheet!$A$68,Worksheet!H303,IF(#REF!=Worksheet!$A$69,Worksheet!H303,IF(#REF!=Worksheet!$A$70,Worksheet!H303,ROUND((Request!Q18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18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5" s="178">
        <f>IF(R18=0,0,IF(AND(#REF!="F-SMRA",R18=0),0,IF(AND(#REF!="F-SMRB",R18=0),0,IF(AND(#REF!="F-SMRC",R18=0),0,IF(#REF!=Worksheet!$A$68,Worksheet!J303,IF(#REF!=Worksheet!$A$69,Worksheet!J303,IF(#REF!=Worksheet!$A$70,Worksheet!J303,ROUND((Request!R18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18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5" s="142">
        <f t="shared" si="7"/>
        <v>5062.5</v>
      </c>
      <c r="T45" s="188"/>
      <c r="U45" s="180" t="s">
        <v>196</v>
      </c>
      <c r="V45" s="206">
        <v>0.40500000000000003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</row>
    <row r="46" spans="1:41" ht="12" customHeight="1" x14ac:dyDescent="0.15">
      <c r="A46" s="91">
        <v>4</v>
      </c>
      <c r="B46" s="276" t="str">
        <f t="shared" si="6"/>
        <v>TBN</v>
      </c>
      <c r="C46" s="277"/>
      <c r="D46" s="208"/>
      <c r="E46" s="199">
        <v>34.1</v>
      </c>
      <c r="F46" s="271"/>
      <c r="G46" s="272"/>
      <c r="H46" s="271">
        <v>24.9</v>
      </c>
      <c r="I46" s="272"/>
      <c r="J46" s="273"/>
      <c r="K46" s="274"/>
      <c r="L46" s="244"/>
      <c r="M46" s="245"/>
      <c r="N46" s="196">
        <f t="shared" si="5"/>
        <v>426.25</v>
      </c>
      <c r="O46" s="196">
        <f t="shared" si="5"/>
        <v>0</v>
      </c>
      <c r="P46" s="196">
        <f>P19*H46/100</f>
        <v>0</v>
      </c>
      <c r="Q46" s="178">
        <f>IF(Q19=0,0,IF(AND(#REF!="F-SMRA",Q19=0),0,IF(AND(#REF!="F-SMRB",Q19=0),0,IF(AND(#REF!="F-SMRC",Q19=0),0,IF(#REF!=Worksheet!$A$68,Worksheet!H304,IF(#REF!=Worksheet!$A$69,Worksheet!H304,IF(#REF!=Worksheet!$A$70,Worksheet!H304,ROUND((Request!Q19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19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6" s="178">
        <f>IF(R19=0,0,IF(AND(#REF!="F-SMRA",R19=0),0,IF(AND(#REF!="F-SMRB",R19=0),0,IF(AND(#REF!="F-SMRC",R19=0),0,IF(#REF!=Worksheet!$A$68,Worksheet!J304,IF(#REF!=Worksheet!$A$69,Worksheet!J304,IF(#REF!=Worksheet!$A$70,Worksheet!J304,ROUND((Request!R19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19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6" s="142">
        <f t="shared" si="7"/>
        <v>426.25</v>
      </c>
      <c r="T46" s="188"/>
      <c r="U46" s="180" t="s">
        <v>197</v>
      </c>
      <c r="V46" s="206">
        <v>0.17</v>
      </c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</row>
    <row r="47" spans="1:41" ht="12" customHeight="1" x14ac:dyDescent="0.15">
      <c r="A47" s="91">
        <v>5</v>
      </c>
      <c r="B47" s="276">
        <f t="shared" si="6"/>
        <v>0</v>
      </c>
      <c r="C47" s="277"/>
      <c r="D47" s="208"/>
      <c r="E47" s="172"/>
      <c r="F47" s="271"/>
      <c r="G47" s="272"/>
      <c r="H47" s="271">
        <v>40.1</v>
      </c>
      <c r="I47" s="272"/>
      <c r="J47" s="273"/>
      <c r="K47" s="274"/>
      <c r="L47" s="244"/>
      <c r="M47" s="245"/>
      <c r="N47" s="196">
        <f t="shared" si="5"/>
        <v>0</v>
      </c>
      <c r="O47" s="196">
        <f t="shared" si="5"/>
        <v>0</v>
      </c>
      <c r="P47" s="196">
        <f>P20*H47/100</f>
        <v>0</v>
      </c>
      <c r="Q47" s="178">
        <f>IF(Q20=0,0,IF(AND(#REF!="F-SMRA",Q20=0),0,IF(AND(#REF!="F-SMRB",Q20=0),0,IF(AND(#REF!="F-SMRC",Q20=0),0,IF(#REF!=Worksheet!$A$68,Worksheet!H305,IF(#REF!=Worksheet!$A$69,Worksheet!H305,IF(#REF!=Worksheet!$A$70,Worksheet!H305,ROUND((Request!Q20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20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7" s="178">
        <f>IF(R20=0,0,IF(AND(#REF!="F-SMRA",R20=0),0,IF(AND(#REF!="F-SMRB",R20=0),0,IF(AND(#REF!="F-SMRC",R20=0),0,IF(#REF!=Worksheet!$A$68,Worksheet!J305,IF(#REF!=Worksheet!$A$69,Worksheet!J305,IF(#REF!=Worksheet!$A$70,Worksheet!J305,ROUND((Request!R20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20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7" s="142">
        <f t="shared" si="7"/>
        <v>0</v>
      </c>
      <c r="T47" s="188"/>
      <c r="U47" s="180" t="s">
        <v>198</v>
      </c>
      <c r="V47" s="206">
        <v>0.17299999999999999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</row>
    <row r="48" spans="1:41" ht="12" customHeight="1" x14ac:dyDescent="0.15">
      <c r="A48" s="91">
        <v>6</v>
      </c>
      <c r="B48" s="276">
        <f t="shared" si="6"/>
        <v>0</v>
      </c>
      <c r="C48" s="277"/>
      <c r="D48" s="208"/>
      <c r="E48" s="172"/>
      <c r="F48" s="271"/>
      <c r="G48" s="272"/>
      <c r="H48" s="244"/>
      <c r="I48" s="245"/>
      <c r="J48" s="244"/>
      <c r="K48" s="245"/>
      <c r="L48" s="244"/>
      <c r="M48" s="245"/>
      <c r="N48" s="196">
        <f t="shared" si="5"/>
        <v>0</v>
      </c>
      <c r="O48" s="178">
        <f>IF(O21=0,0,IF(AND(#REF!="F-SMRA",O21=0),0,IF(AND(#REF!="F-SMRB",O21=0),0,IF(AND(#REF!="F-SMRC",O21=0),0,IF(#REF!=Worksheet!$A$68,Worksheet!D306,IF(#REF!=Worksheet!$A$69,Worksheet!D306,IF(#REF!=Worksheet!$A$70,Worksheet!D306,ROUND((Request!O21/Worksheet!$D$5*Worksheet!$D$9*(IF(Request!#REF!=Worksheet!$A$47,Worksheet!D$47,IF(Request!#REF!=Worksheet!$A$48,Worksheet!D$48,IF(Request!#REF!=Worksheet!$A$49,Worksheet!D$49,IF(Request!#REF!=Worksheet!$A$50,Worksheet!D$50,IF(Request!#REF!=Worksheet!$A$51,Worksheet!D$51,IF(Request!#REF!=Worksheet!$A$52,Worksheet!D$52,IF(Request!#REF!=Worksheet!$A$53,Worksheet!D$53,IF(Request!#REF!=Worksheet!$A$54,Worksheet!D$54,IF(Request!#REF!=Worksheet!$A$55,Worksheet!D$55))))))))))),0)+ROUND(O21/Worksheet!$D$5*Worksheet!$D$10*(IF(Request!#REF!=Worksheet!$A$47,Worksheet!E$47,IF(Request!#REF!=Worksheet!$A$48,Worksheet!E$48,IF(Request!#REF!=Worksheet!$A$49,Worksheet!E$49,IF(Request!#REF!=Worksheet!$A$50,Worksheet!E$50,IF(Request!#REF!=Worksheet!$A$51,Worksheet!E$51,IF(Request!#REF!=Worksheet!$A$52,Worksheet!E$52,IF(Request!#REF!=Worksheet!$A$53,Worksheet!E$53,IF(Request!#REF!=Worksheet!$A$54,Worksheet!E$54,IF(Request!#REF!=Worksheet!$A$55,Worksheet!E$55)))))))))),0))))))))</f>
        <v>0</v>
      </c>
      <c r="P48" s="178">
        <f>IF(P21=0,0,IF(AND(#REF!="F-SMRA",P21=0),0,IF(AND(#REF!="F-SMRB",P21=0),0,IF(AND(#REF!="F-SMRC",P21=0),0,IF(#REF!=Worksheet!$A$68,Worksheet!F306,IF(#REF!=Worksheet!$A$69,Worksheet!F306,IF(#REF!=Worksheet!$A$70,Worksheet!F306,ROUND((Request!P21/Worksheet!$E$5*Worksheet!$E$9*(IF(Request!#REF!=Worksheet!$A$47,Worksheet!F$47,IF(Request!#REF!=Worksheet!$A$48,Worksheet!F$48,IF(Request!#REF!=Worksheet!$A$49,Worksheet!F$49,IF(Request!#REF!=Worksheet!$A$50,Worksheet!F$50,IF(Request!#REF!=Worksheet!$A$51,Worksheet!F$51,IF(Request!#REF!=Worksheet!$A$52,Worksheet!F$52,IF(Request!#REF!=Worksheet!$A$53,Worksheet!F$53,IF(Request!#REF!=Worksheet!$A$54,Worksheet!F$54,IF(Request!#REF!=Worksheet!$A$55,Worksheet!F$55))))))))))),0)+ROUND(P21/Worksheet!$E$5*Worksheet!$E$10*(IF(Request!#REF!=Worksheet!$A$47,Worksheet!G$47,IF(Request!#REF!=Worksheet!$A$48,Worksheet!G$48,IF(Request!#REF!=Worksheet!$A$49,Worksheet!G$49,IF(Request!#REF!=Worksheet!$A$50,Worksheet!G$50,IF(Request!#REF!=Worksheet!$A$51,Worksheet!G$51,IF(Request!#REF!=Worksheet!$A$52,Worksheet!G$52,IF(Request!#REF!=Worksheet!$A$53,Worksheet!G$53,IF(Request!#REF!=Worksheet!$A$54,Worksheet!G$54,IF(Request!#REF!=Worksheet!$A$55,Worksheet!G$55)))))))))),0))))))))</f>
        <v>0</v>
      </c>
      <c r="Q48" s="178">
        <f>IF(Q21=0,0,IF(AND(#REF!="F-SMRA",Q21=0),0,IF(AND(#REF!="F-SMRB",Q21=0),0,IF(AND(#REF!="F-SMRC",Q21=0),0,IF(#REF!=Worksheet!$A$68,Worksheet!H306,IF(#REF!=Worksheet!$A$69,Worksheet!H306,IF(#REF!=Worksheet!$A$70,Worksheet!H306,ROUND((Request!Q21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21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8" s="178">
        <f>IF(R21=0,0,IF(AND(#REF!="F-SMRA",R21=0),0,IF(AND(#REF!="F-SMRB",R21=0),0,IF(AND(#REF!="F-SMRC",R21=0),0,IF(#REF!=Worksheet!$A$68,Worksheet!J306,IF(#REF!=Worksheet!$A$69,Worksheet!J306,IF(#REF!=Worksheet!$A$70,Worksheet!J306,ROUND((Request!R21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21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8" s="142">
        <f t="shared" si="7"/>
        <v>0</v>
      </c>
      <c r="T48" s="188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</row>
    <row r="49" spans="1:41" x14ac:dyDescent="0.15">
      <c r="A49" s="91">
        <v>7</v>
      </c>
      <c r="B49" s="276">
        <f t="shared" ref="B49:B66" si="8">B22</f>
        <v>0</v>
      </c>
      <c r="C49" s="277"/>
      <c r="D49" s="154"/>
      <c r="E49" s="172"/>
      <c r="F49" s="271"/>
      <c r="G49" s="272"/>
      <c r="H49" s="244" t="b">
        <f>IF($D49=Worksheet!$A$59,Worksheet!D$59,IF($D49=Worksheet!$A$60,Worksheet!D$60,IF($D49=Worksheet!$A$61,Worksheet!D$61,IF($D49=Worksheet!$A$62,Worksheet!D$62,IF($D49=Worksheet!$A$63,Worksheet!D$63,IF($D49=Worksheet!$A$64,Worksheet!D$64,IF($D49=Worksheet!$A$65,Worksheet!D$65,IF($D49=Worksheet!$A$66,Worksheet!D$66,IF($D49=Worksheet!$A$67,Worksheet!D$67,IF($D49=Worksheet!$A$68,Worksheet!F281,IF($D49=Worksheet!$A$69,Worksheet!F281,IF($D49=Worksheet!$A$70,Worksheet!F281,IF($D49=Worksheet!$A$71,"")))))))))))))</f>
        <v>0</v>
      </c>
      <c r="I49" s="245"/>
      <c r="J49" s="244" t="b">
        <f>IF($D49=Worksheet!$A$59,Worksheet!E$59,IF($D49=Worksheet!$A$60,Worksheet!E$60,IF($D49=Worksheet!$A$61,Worksheet!E$61,IF($D49=Worksheet!$A$62,Worksheet!E$62,IF($D49=Worksheet!$A$63,Worksheet!E$63,IF($D49=Worksheet!$A$64,Worksheet!E$64,IF($D49=Worksheet!$A$65,Worksheet!E$65,IF($D49=Worksheet!$A$66,Worksheet!E$66,IF($D49=Worksheet!$A$67,Worksheet!E$67,IF($D49=Worksheet!$A$68,Worksheet!H281,IF($D49=Worksheet!$A$69,Worksheet!H281,IF($D49=Worksheet!$A$70,Worksheet!H281,IF($D49=Worksheet!$A$71,"")))))))))))))</f>
        <v>0</v>
      </c>
      <c r="K49" s="245"/>
      <c r="L49" s="244"/>
      <c r="M49" s="245"/>
      <c r="N49" s="178">
        <f>IF(N22=0,0,IF(AND($D49="F-SMRA",N22=0),0,IF(AND($D49="F-SMRB",N22=0),0,IF(AND($D49="F-SMRC",N22=0),0,IF($D49=Worksheet!$A$68,Worksheet!B307,IF($D49=Worksheet!$A$69,Worksheet!B307,IF($D49=Worksheet!$A$70,Worksheet!B307,ROUND((Request!N22/Worksheet!$C$5*Worksheet!$C$9*(IF(Request!$D49=Worksheet!$A$47,Worksheet!B$47,IF(Request!$D49=Worksheet!$A$48,Worksheet!B$48,IF(Request!$D49=Worksheet!$A$49,Worksheet!B$49,IF(Request!$D49=Worksheet!$A$50,Worksheet!B$50,IF(Request!$D49=Worksheet!$A$51,Worksheet!B$51,IF(Request!$D49=Worksheet!$A$52,Worksheet!B$52,IF(Request!$D49=Worksheet!$A$53,Worksheet!B$53,IF(Request!$D49=Worksheet!$A$54,Worksheet!B$54,IF(Request!$D49=Worksheet!$A$55,Worksheet!B$55))))))))))),0)+ROUND(N22/Worksheet!$C$5*Worksheet!$C$10*(IF(Request!$D49=Worksheet!$A$47,Worksheet!C$47,IF(Request!$D49=Worksheet!$A$48,Worksheet!C$48,IF(Request!$D49=Worksheet!$A$49,Worksheet!C$49,IF(Request!$D49=Worksheet!$A$50,Worksheet!C$50,IF(Request!$D49=Worksheet!$A$51,Worksheet!C$51,IF(Request!$D49=Worksheet!$A$52,Worksheet!C$52,IF(Request!$D49=Worksheet!$A$53,Worksheet!C$53,IF(Request!$D49=Worksheet!$A$54,Worksheet!C$54,IF(Request!$D49=Worksheet!$A$55,Worksheet!C$55)))))))))),0))))))))</f>
        <v>0</v>
      </c>
      <c r="O49" s="178">
        <f>IF(O22=0,0,IF(AND($D49="F-SMRA",O22=0),0,IF(AND($D49="F-SMRB",O22=0),0,IF(AND($D49="F-SMRC",O22=0),0,IF($D49=Worksheet!$A$68,Worksheet!D307,IF($D49=Worksheet!$A$69,Worksheet!D307,IF($D49=Worksheet!$A$70,Worksheet!D307,ROUND((Request!O22/Worksheet!$D$5*Worksheet!$D$9*(IF(Request!$D49=Worksheet!$A$47,Worksheet!D$47,IF(Request!$D49=Worksheet!$A$48,Worksheet!D$48,IF(Request!$D49=Worksheet!$A$49,Worksheet!D$49,IF(Request!$D49=Worksheet!$A$50,Worksheet!D$50,IF(Request!$D49=Worksheet!$A$51,Worksheet!D$51,IF(Request!$D49=Worksheet!$A$52,Worksheet!D$52,IF(Request!$D49=Worksheet!$A$53,Worksheet!D$53,IF(Request!$D49=Worksheet!$A$54,Worksheet!D$54,IF(Request!$D49=Worksheet!$A$55,Worksheet!D$55))))))))))),0)+ROUND(O22/Worksheet!$D$5*Worksheet!$D$10*(IF(Request!$D49=Worksheet!$A$47,Worksheet!E$47,IF(Request!$D49=Worksheet!$A$48,Worksheet!E$48,IF(Request!$D49=Worksheet!$A$49,Worksheet!E$49,IF(Request!$D49=Worksheet!$A$50,Worksheet!E$50,IF(Request!$D49=Worksheet!$A$51,Worksheet!E$51,IF(Request!$D49=Worksheet!$A$52,Worksheet!E$52,IF(Request!$D49=Worksheet!$A$53,Worksheet!E$53,IF(Request!$D49=Worksheet!$A$54,Worksheet!E$54,IF(Request!$D49=Worksheet!$A$55,Worksheet!E$55)))))))))),0))))))))</f>
        <v>0</v>
      </c>
      <c r="P49" s="178">
        <f>IF(P22=0,0,IF(AND($D49="F-SMRA",P22=0),0,IF(AND($D49="F-SMRB",P22=0),0,IF(AND($D49="F-SMRC",P22=0),0,IF($D49=Worksheet!$A$68,Worksheet!F307,IF($D49=Worksheet!$A$69,Worksheet!F307,IF($D49=Worksheet!$A$70,Worksheet!F307,ROUND((Request!P22/Worksheet!$E$5*Worksheet!$E$9*(IF(Request!$D49=Worksheet!$A$47,Worksheet!F$47,IF(Request!$D49=Worksheet!$A$48,Worksheet!F$48,IF(Request!$D49=Worksheet!$A$49,Worksheet!F$49,IF(Request!$D49=Worksheet!$A$50,Worksheet!F$50,IF(Request!$D49=Worksheet!$A$51,Worksheet!F$51,IF(Request!$D49=Worksheet!$A$52,Worksheet!F$52,IF(Request!$D49=Worksheet!$A$53,Worksheet!F$53,IF(Request!$D49=Worksheet!$A$54,Worksheet!F$54,IF(Request!$D49=Worksheet!$A$55,Worksheet!F$55))))))))))),0)+ROUND(P22/Worksheet!$E$5*Worksheet!$E$10*(IF(Request!$D49=Worksheet!$A$47,Worksheet!G$47,IF(Request!$D49=Worksheet!$A$48,Worksheet!G$48,IF(Request!$D49=Worksheet!$A$49,Worksheet!G$49,IF(Request!$D49=Worksheet!$A$50,Worksheet!G$50,IF(Request!$D49=Worksheet!$A$51,Worksheet!G$51,IF(Request!$D49=Worksheet!$A$52,Worksheet!G$52,IF(Request!$D49=Worksheet!$A$53,Worksheet!G$53,IF(Request!$D49=Worksheet!$A$54,Worksheet!G$54,IF(Request!$D49=Worksheet!$A$55,Worksheet!G$55)))))))))),0))))))))</f>
        <v>0</v>
      </c>
      <c r="Q49" s="178">
        <f>IF(Q22=0,0,IF(AND($D49="F-SMRA",Q22=0),0,IF(AND($D49="F-SMRB",Q22=0),0,IF(AND($D49="F-SMRC",Q22=0),0,IF($D49=Worksheet!$A$68,Worksheet!H307,IF($D49=Worksheet!$A$69,Worksheet!H307,IF($D49=Worksheet!$A$70,Worksheet!H307,ROUND((Request!Q22/Worksheet!$F$5*Worksheet!$F$9*(IF(Request!$D49=Worksheet!$A$47,Worksheet!H$47,IF(Request!$D49=Worksheet!$A$48,Worksheet!H$48,IF(Request!$D49=Worksheet!$A$49,Worksheet!H$49,IF(Request!$D49=Worksheet!$A$50,Worksheet!H$50,IF(Request!$D49=Worksheet!$A$51,Worksheet!H$51,IF(Request!$D49=Worksheet!$A$52,Worksheet!H$52,IF(Request!$D49=Worksheet!$A$53,Worksheet!H$53,IF(Request!$D49=Worksheet!$A$54,Worksheet!H$54,IF(Request!$D49=Worksheet!$A$55,Worksheet!H$55))))))))))),0)+ROUND(Q22/Worksheet!$F$5*Worksheet!$F$10*(IF(Request!$D49=Worksheet!$A$47,Worksheet!I$47,IF(Request!$D49=Worksheet!$A$48,Worksheet!I$48,IF(Request!$D49=Worksheet!$A$49,Worksheet!I$49,IF(Request!$D49=Worksheet!$A$50,Worksheet!I$50,IF(Request!$D49=Worksheet!$A$51,Worksheet!I$51,IF(Request!$D49=Worksheet!$A$52,Worksheet!I$52,IF(Request!$D49=Worksheet!$A$53,Worksheet!I$53,IF(Request!$D49=Worksheet!$A$54,Worksheet!I$54,IF(Request!$D49=Worksheet!$A$55,Worksheet!I$55)))))))))),0))))))))</f>
        <v>0</v>
      </c>
      <c r="R49" s="178">
        <f>IF(R22=0,0,IF(AND($D49="F-SMRA",R22=0),0,IF(AND($D49="F-SMRB",R22=0),0,IF(AND($D49="F-SMRC",R22=0),0,IF($D49=Worksheet!$A$68,Worksheet!J307,IF($D49=Worksheet!$A$69,Worksheet!J307,IF($D49=Worksheet!$A$70,Worksheet!J307,ROUND((Request!R22/Worksheet!$G$5*Worksheet!$G$9*(IF(Request!$D49=Worksheet!$A$47,Worksheet!J$47,IF(Request!$D49=Worksheet!$A$48,Worksheet!J$48,IF(Request!$D49=Worksheet!$A$49,Worksheet!J$49,IF(Request!$D49=Worksheet!$A$50,Worksheet!J$50,IF(Request!$D49=Worksheet!$A$51,Worksheet!J$51,IF(Request!$D49=Worksheet!$A$52,Worksheet!J$52,IF(Request!$D49=Worksheet!$A$53,Worksheet!J$53,IF(Request!$D49=Worksheet!$A$54,Worksheet!J$54,IF(Request!$D49=Worksheet!$A$55,Worksheet!J$55))))))))))),0)+ROUND(R22/Worksheet!$G$5*Worksheet!$G$10*(IF(Request!$D49=Worksheet!$A$47,Worksheet!K$47,IF(Request!$D49=Worksheet!$A$48,Worksheet!K$48,IF(Request!$D49=Worksheet!$A$49,Worksheet!K$49,IF(Request!$D49=Worksheet!$A$50,Worksheet!K$50,IF(Request!$D49=Worksheet!$A$51,Worksheet!K$51,IF(Request!$D49=Worksheet!$A$52,Worksheet!K$52,IF(Request!$D49=Worksheet!$A$53,Worksheet!K$53,IF(Request!$D49=Worksheet!$A$54,Worksheet!K$54,IF(Request!$D49=Worksheet!$A$55,Worksheet!K$55)))))))))),0))))))))</f>
        <v>0</v>
      </c>
      <c r="S49" s="142">
        <f t="shared" si="7"/>
        <v>0</v>
      </c>
      <c r="T49" s="188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</row>
    <row r="50" spans="1:41" x14ac:dyDescent="0.15">
      <c r="A50" s="91">
        <v>8</v>
      </c>
      <c r="B50" s="276">
        <f t="shared" si="8"/>
        <v>0</v>
      </c>
      <c r="C50" s="277"/>
      <c r="D50" s="154"/>
      <c r="E50" s="172"/>
      <c r="F50" s="271"/>
      <c r="G50" s="272"/>
      <c r="H50" s="244" t="b">
        <f>IF($D50=Worksheet!$A$59,Worksheet!D$59,IF($D50=Worksheet!$A$60,Worksheet!D$60,IF($D50=Worksheet!$A$61,Worksheet!D$61,IF($D50=Worksheet!$A$62,Worksheet!D$62,IF($D50=Worksheet!$A$63,Worksheet!D$63,IF($D50=Worksheet!$A$64,Worksheet!D$64,IF($D50=Worksheet!$A$65,Worksheet!D$65,IF($D50=Worksheet!$A$66,Worksheet!D$66,IF($D50=Worksheet!$A$67,Worksheet!D$67,IF($D50=Worksheet!$A$68,Worksheet!F282,IF($D50=Worksheet!$A$69,Worksheet!F282,IF($D50=Worksheet!$A$70,Worksheet!F282,IF($D50=Worksheet!$A$71,"")))))))))))))</f>
        <v>0</v>
      </c>
      <c r="I50" s="245"/>
      <c r="J50" s="244"/>
      <c r="K50" s="245"/>
      <c r="L50" s="244"/>
      <c r="M50" s="245"/>
      <c r="N50" s="178">
        <f>IF(N23=0,0,IF(AND($D50="F-SMRA",N23=0),0,IF(AND($D50="F-SMRB",N23=0),0,IF(AND($D50="F-SMRC",N23=0),0,IF($D50=Worksheet!$A$68,Worksheet!B308,IF($D50=Worksheet!$A$69,Worksheet!B308,IF($D50=Worksheet!$A$70,Worksheet!B308,ROUND((Request!N23/Worksheet!$C$5*Worksheet!$C$9*(IF(Request!$D50=Worksheet!$A$47,Worksheet!B$47,IF(Request!$D50=Worksheet!$A$48,Worksheet!B$48,IF(Request!$D50=Worksheet!$A$49,Worksheet!B$49,IF(Request!$D50=Worksheet!$A$50,Worksheet!B$50,IF(Request!$D50=Worksheet!$A$51,Worksheet!B$51,IF(Request!$D50=Worksheet!$A$52,Worksheet!B$52,IF(Request!$D50=Worksheet!$A$53,Worksheet!B$53,IF(Request!$D50=Worksheet!$A$54,Worksheet!B$54,IF(Request!$D50=Worksheet!$A$55,Worksheet!B$55))))))))))),0)+ROUND(N23/Worksheet!$C$5*Worksheet!$C$10*(IF(Request!$D50=Worksheet!$A$47,Worksheet!C$47,IF(Request!$D50=Worksheet!$A$48,Worksheet!C$48,IF(Request!$D50=Worksheet!$A$49,Worksheet!C$49,IF(Request!$D50=Worksheet!$A$50,Worksheet!C$50,IF(Request!$D50=Worksheet!$A$51,Worksheet!C$51,IF(Request!$D50=Worksheet!$A$52,Worksheet!C$52,IF(Request!$D50=Worksheet!$A$53,Worksheet!C$53,IF(Request!$D50=Worksheet!$A$54,Worksheet!C$54,IF(Request!$D50=Worksheet!$A$55,Worksheet!C$55)))))))))),0))))))))</f>
        <v>0</v>
      </c>
      <c r="O50" s="178">
        <f>IF(O23=0,0,IF(AND($D50="F-SMRA",O23=0),0,IF(AND($D50="F-SMRB",O23=0),0,IF(AND($D50="F-SMRC",O23=0),0,IF($D50=Worksheet!$A$68,Worksheet!D308,IF($D50=Worksheet!$A$69,Worksheet!D308,IF($D50=Worksheet!$A$70,Worksheet!D308,ROUND((Request!O23/Worksheet!$D$5*Worksheet!$D$9*(IF(Request!$D50=Worksheet!$A$47,Worksheet!D$47,IF(Request!$D50=Worksheet!$A$48,Worksheet!D$48,IF(Request!$D50=Worksheet!$A$49,Worksheet!D$49,IF(Request!$D50=Worksheet!$A$50,Worksheet!D$50,IF(Request!$D50=Worksheet!$A$51,Worksheet!D$51,IF(Request!$D50=Worksheet!$A$52,Worksheet!D$52,IF(Request!$D50=Worksheet!$A$53,Worksheet!D$53,IF(Request!$D50=Worksheet!$A$54,Worksheet!D$54,IF(Request!$D50=Worksheet!$A$55,Worksheet!D$55))))))))))),0)+ROUND(O23/Worksheet!$D$5*Worksheet!$D$10*(IF(Request!$D50=Worksheet!$A$47,Worksheet!E$47,IF(Request!$D50=Worksheet!$A$48,Worksheet!E$48,IF(Request!$D50=Worksheet!$A$49,Worksheet!E$49,IF(Request!$D50=Worksheet!$A$50,Worksheet!E$50,IF(Request!$D50=Worksheet!$A$51,Worksheet!E$51,IF(Request!$D50=Worksheet!$A$52,Worksheet!E$52,IF(Request!$D50=Worksheet!$A$53,Worksheet!E$53,IF(Request!$D50=Worksheet!$A$54,Worksheet!E$54,IF(Request!$D50=Worksheet!$A$55,Worksheet!E$55)))))))))),0))))))))</f>
        <v>0</v>
      </c>
      <c r="P50" s="178">
        <f>IF(P23=0,0,IF(AND($D50="F-SMRA",P23=0),0,IF(AND($D50="F-SMRB",P23=0),0,IF(AND($D50="F-SMRC",P23=0),0,IF($D50=Worksheet!$A$68,Worksheet!F308,IF($D50=Worksheet!$A$69,Worksheet!F308,IF($D50=Worksheet!$A$70,Worksheet!F308,ROUND((Request!P23/Worksheet!$E$5*Worksheet!$E$9*(IF(Request!$D50=Worksheet!$A$47,Worksheet!F$47,IF(Request!$D50=Worksheet!$A$48,Worksheet!F$48,IF(Request!$D50=Worksheet!$A$49,Worksheet!F$49,IF(Request!$D50=Worksheet!$A$50,Worksheet!F$50,IF(Request!$D50=Worksheet!$A$51,Worksheet!F$51,IF(Request!$D50=Worksheet!$A$52,Worksheet!F$52,IF(Request!$D50=Worksheet!$A$53,Worksheet!F$53,IF(Request!$D50=Worksheet!$A$54,Worksheet!F$54,IF(Request!$D50=Worksheet!$A$55,Worksheet!F$55))))))))))),0)+ROUND(P23/Worksheet!$E$5*Worksheet!$E$10*(IF(Request!$D50=Worksheet!$A$47,Worksheet!G$47,IF(Request!$D50=Worksheet!$A$48,Worksheet!G$48,IF(Request!$D50=Worksheet!$A$49,Worksheet!G$49,IF(Request!$D50=Worksheet!$A$50,Worksheet!G$50,IF(Request!$D50=Worksheet!$A$51,Worksheet!G$51,IF(Request!$D50=Worksheet!$A$52,Worksheet!G$52,IF(Request!$D50=Worksheet!$A$53,Worksheet!G$53,IF(Request!$D50=Worksheet!$A$54,Worksheet!G$54,IF(Request!$D50=Worksheet!$A$55,Worksheet!G$55)))))))))),0))))))))</f>
        <v>0</v>
      </c>
      <c r="Q50" s="178">
        <f>IF(Q23=0,0,IF(AND($D50="F-SMRA",Q23=0),0,IF(AND($D50="F-SMRB",Q23=0),0,IF(AND($D50="F-SMRC",Q23=0),0,IF($D50=Worksheet!$A$68,Worksheet!H308,IF($D50=Worksheet!$A$69,Worksheet!H308,IF($D50=Worksheet!$A$70,Worksheet!H308,ROUND((Request!Q23/Worksheet!$F$5*Worksheet!$F$9*(IF(Request!$D50=Worksheet!$A$47,Worksheet!H$47,IF(Request!$D50=Worksheet!$A$48,Worksheet!H$48,IF(Request!$D50=Worksheet!$A$49,Worksheet!H$49,IF(Request!$D50=Worksheet!$A$50,Worksheet!H$50,IF(Request!$D50=Worksheet!$A$51,Worksheet!H$51,IF(Request!$D50=Worksheet!$A$52,Worksheet!H$52,IF(Request!$D50=Worksheet!$A$53,Worksheet!H$53,IF(Request!$D50=Worksheet!$A$54,Worksheet!H$54,IF(Request!$D50=Worksheet!$A$55,Worksheet!H$55))))))))))),0)+ROUND(Q23/Worksheet!$F$5*Worksheet!$F$10*(IF(Request!$D50=Worksheet!$A$47,Worksheet!I$47,IF(Request!$D50=Worksheet!$A$48,Worksheet!I$48,IF(Request!$D50=Worksheet!$A$49,Worksheet!I$49,IF(Request!$D50=Worksheet!$A$50,Worksheet!I$50,IF(Request!$D50=Worksheet!$A$51,Worksheet!I$51,IF(Request!$D50=Worksheet!$A$52,Worksheet!I$52,IF(Request!$D50=Worksheet!$A$53,Worksheet!I$53,IF(Request!$D50=Worksheet!$A$54,Worksheet!I$54,IF(Request!$D50=Worksheet!$A$55,Worksheet!I$55)))))))))),0))))))))</f>
        <v>0</v>
      </c>
      <c r="R50" s="178">
        <f>IF(R23=0,0,IF(AND($D50="F-SMRA",R23=0),0,IF(AND($D50="F-SMRB",R23=0),0,IF(AND($D50="F-SMRC",R23=0),0,IF($D50=Worksheet!$A$68,Worksheet!J308,IF($D50=Worksheet!$A$69,Worksheet!J308,IF($D50=Worksheet!$A$70,Worksheet!J308,ROUND((Request!R23/Worksheet!$G$5*Worksheet!$G$9*(IF(Request!$D50=Worksheet!$A$47,Worksheet!J$47,IF(Request!$D50=Worksheet!$A$48,Worksheet!J$48,IF(Request!$D50=Worksheet!$A$49,Worksheet!J$49,IF(Request!$D50=Worksheet!$A$50,Worksheet!J$50,IF(Request!$D50=Worksheet!$A$51,Worksheet!J$51,IF(Request!$D50=Worksheet!$A$52,Worksheet!J$52,IF(Request!$D50=Worksheet!$A$53,Worksheet!J$53,IF(Request!$D50=Worksheet!$A$54,Worksheet!J$54,IF(Request!$D50=Worksheet!$A$55,Worksheet!J$55))))))))))),0)+ROUND(R23/Worksheet!$G$5*Worksheet!$G$10*(IF(Request!$D50=Worksheet!$A$47,Worksheet!K$47,IF(Request!$D50=Worksheet!$A$48,Worksheet!K$48,IF(Request!$D50=Worksheet!$A$49,Worksheet!K$49,IF(Request!$D50=Worksheet!$A$50,Worksheet!K$50,IF(Request!$D50=Worksheet!$A$51,Worksheet!K$51,IF(Request!$D50=Worksheet!$A$52,Worksheet!K$52,IF(Request!$D50=Worksheet!$A$53,Worksheet!K$53,IF(Request!$D50=Worksheet!$A$54,Worksheet!K$54,IF(Request!$D50=Worksheet!$A$55,Worksheet!K$55)))))))))),0))))))))</f>
        <v>0</v>
      </c>
      <c r="S50" s="142">
        <f t="shared" si="7"/>
        <v>0</v>
      </c>
      <c r="T50" s="188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</row>
    <row r="51" spans="1:41" hidden="1" x14ac:dyDescent="0.15">
      <c r="A51" s="91">
        <v>9</v>
      </c>
      <c r="B51" s="276">
        <f t="shared" si="8"/>
        <v>0</v>
      </c>
      <c r="C51" s="277"/>
      <c r="D51" s="154" t="s">
        <v>51</v>
      </c>
      <c r="E51" s="172" t="str">
        <f>IF($D51=Worksheet!$A$59,Worksheet!B$59,IF($D51=Worksheet!$A$60,Worksheet!B$60,IF($D51=Worksheet!$A$61,Worksheet!B$61,IF($D51=Worksheet!$A$62,Worksheet!B$62,IF($D51=Worksheet!$A$63,Worksheet!B$63,IF($D51=Worksheet!$A$64,Worksheet!B$64,IF($D51=Worksheet!$A$65,Worksheet!B$65,IF($D51=Worksheet!$A$66,Worksheet!B$66,IF($D51=Worksheet!$A$67,Worksheet!B$67,IF($D51=Worksheet!$A$68,Worksheet!B283,IF($D51=Worksheet!$A$69,Worksheet!B283,IF($D51=Worksheet!$A$70,Worksheet!B283,IF($D51=Worksheet!$A$71,"")))))))))))))</f>
        <v/>
      </c>
      <c r="F51" s="271" t="str">
        <f>IF($D51=Worksheet!$A$59,Worksheet!C$59,IF($D51=Worksheet!$A$60,Worksheet!C$60,IF($D51=Worksheet!$A$61,Worksheet!C$61,IF($D51=Worksheet!$A$62,Worksheet!C$62,IF($D51=Worksheet!$A$63,Worksheet!C$63,IF($D51=Worksheet!$A$64,Worksheet!C$64,IF($D51=Worksheet!$A$65,Worksheet!C$65,IF($D51=Worksheet!$A$66,Worksheet!C$66,IF($D51=Worksheet!$A$67,Worksheet!C$67,IF($D51=Worksheet!$A$68,Worksheet!D283,IF($D51=Worksheet!$A$69,Worksheet!D283,IF($D51=Worksheet!$A$70,Worksheet!D283,IF($D51=Worksheet!$A$71,"")))))))))))))</f>
        <v/>
      </c>
      <c r="G51" s="272"/>
      <c r="H51" s="244" t="str">
        <f>IF($D51=Worksheet!$A$59,Worksheet!D$59,IF($D51=Worksheet!$A$60,Worksheet!D$60,IF($D51=Worksheet!$A$61,Worksheet!D$61,IF($D51=Worksheet!$A$62,Worksheet!D$62,IF($D51=Worksheet!$A$63,Worksheet!D$63,IF($D51=Worksheet!$A$64,Worksheet!D$64,IF($D51=Worksheet!$A$65,Worksheet!D$65,IF($D51=Worksheet!$A$66,Worksheet!D$66,IF($D51=Worksheet!$A$67,Worksheet!D$67,IF($D51=Worksheet!$A$68,Worksheet!F283,IF($D51=Worksheet!$A$69,Worksheet!F283,IF($D51=Worksheet!$A$70,Worksheet!F283,IF($D51=Worksheet!$A$71,"")))))))))))))</f>
        <v/>
      </c>
      <c r="I51" s="245"/>
      <c r="J51" s="244" t="str">
        <f>IF($D51=Worksheet!$A$59,Worksheet!E$59,IF($D51=Worksheet!$A$60,Worksheet!E$60,IF($D51=Worksheet!$A$61,Worksheet!E$61,IF($D51=Worksheet!$A$62,Worksheet!E$62,IF($D51=Worksheet!$A$63,Worksheet!E$63,IF($D51=Worksheet!$A$64,Worksheet!E$64,IF($D51=Worksheet!$A$65,Worksheet!E$65,IF($D51=Worksheet!$A$66,Worksheet!E$66,IF($D51=Worksheet!$A$67,Worksheet!E$67,IF($D51=Worksheet!$A$68,Worksheet!H283,IF($D51=Worksheet!$A$69,Worksheet!H283,IF($D51=Worksheet!$A$70,Worksheet!H283,IF($D51=Worksheet!$A$71,"")))))))))))))</f>
        <v/>
      </c>
      <c r="K51" s="245"/>
      <c r="L51" s="244" t="str">
        <f>IF($D51=Worksheet!$A$59,Worksheet!F$59,IF($D51=Worksheet!$A$60,Worksheet!F$60,IF($D51=Worksheet!$A$61,Worksheet!F$61,IF($D51=Worksheet!$A$62,Worksheet!F$62,IF($D51=Worksheet!$A$63,Worksheet!F$63,IF($D51=Worksheet!$A$64,Worksheet!F$64,IF($D51=Worksheet!$A$65,Worksheet!F$65,IF($D51=Worksheet!$A$66,Worksheet!F$66,IF($D51=Worksheet!$A$67,Worksheet!F$67,IF($D51=Worksheet!$A$68,Worksheet!J283,IF($D51=Worksheet!$A$69,Worksheet!J283,IF($D51=Worksheet!$A$70,Worksheet!J283,IF($D51=Worksheet!$A$71,"")))))))))))))</f>
        <v/>
      </c>
      <c r="M51" s="245"/>
      <c r="N51" s="178">
        <f>IF(N24=0,0,IF(AND($D51="F-SMRA",N24=0),0,IF(AND($D51="F-SMRB",N24=0),0,IF(AND($D51="F-SMRC",N24=0),0,IF($D51=Worksheet!$A$68,Worksheet!B309,IF($D51=Worksheet!$A$69,Worksheet!B309,IF($D51=Worksheet!$A$70,Worksheet!B309,ROUND((Request!N24/Worksheet!$C$5*Worksheet!$C$9*(IF(Request!$D51=Worksheet!$A$47,Worksheet!B$47,IF(Request!$D51=Worksheet!$A$48,Worksheet!B$48,IF(Request!$D51=Worksheet!$A$49,Worksheet!B$49,IF(Request!$D51=Worksheet!$A$50,Worksheet!B$50,IF(Request!$D51=Worksheet!$A$51,Worksheet!B$51,IF(Request!$D51=Worksheet!$A$52,Worksheet!B$52,IF(Request!$D51=Worksheet!$A$53,Worksheet!B$53,IF(Request!$D51=Worksheet!$A$54,Worksheet!B$54,IF(Request!$D51=Worksheet!$A$55,Worksheet!B$55))))))))))),0)+ROUND(N24/Worksheet!$C$5*Worksheet!$C$10*(IF(Request!$D51=Worksheet!$A$47,Worksheet!C$47,IF(Request!$D51=Worksheet!$A$48,Worksheet!C$48,IF(Request!$D51=Worksheet!$A$49,Worksheet!C$49,IF(Request!$D51=Worksheet!$A$50,Worksheet!C$50,IF(Request!$D51=Worksheet!$A$51,Worksheet!C$51,IF(Request!$D51=Worksheet!$A$52,Worksheet!C$52,IF(Request!$D51=Worksheet!$A$53,Worksheet!C$53,IF(Request!$D51=Worksheet!$A$54,Worksheet!C$54,IF(Request!$D51=Worksheet!$A$55,Worksheet!C$55)))))))))),0))))))))</f>
        <v>0</v>
      </c>
      <c r="O51" s="178">
        <f>IF(O24=0,0,IF(AND($D51="F-SMRA",O24=0),0,IF(AND($D51="F-SMRB",O24=0),0,IF(AND($D51="F-SMRC",O24=0),0,IF($D51=Worksheet!$A$68,Worksheet!D309,IF($D51=Worksheet!$A$69,Worksheet!D309,IF($D51=Worksheet!$A$70,Worksheet!D309,ROUND((Request!O24/Worksheet!$D$5*Worksheet!$D$9*(IF(Request!$D51=Worksheet!$A$47,Worksheet!D$47,IF(Request!$D51=Worksheet!$A$48,Worksheet!D$48,IF(Request!$D51=Worksheet!$A$49,Worksheet!D$49,IF(Request!$D51=Worksheet!$A$50,Worksheet!D$50,IF(Request!$D51=Worksheet!$A$51,Worksheet!D$51,IF(Request!$D51=Worksheet!$A$52,Worksheet!D$52,IF(Request!$D51=Worksheet!$A$53,Worksheet!D$53,IF(Request!$D51=Worksheet!$A$54,Worksheet!D$54,IF(Request!$D51=Worksheet!$A$55,Worksheet!D$55))))))))))),0)+ROUND(O24/Worksheet!$D$5*Worksheet!$D$10*(IF(Request!$D51=Worksheet!$A$47,Worksheet!E$47,IF(Request!$D51=Worksheet!$A$48,Worksheet!E$48,IF(Request!$D51=Worksheet!$A$49,Worksheet!E$49,IF(Request!$D51=Worksheet!$A$50,Worksheet!E$50,IF(Request!$D51=Worksheet!$A$51,Worksheet!E$51,IF(Request!$D51=Worksheet!$A$52,Worksheet!E$52,IF(Request!$D51=Worksheet!$A$53,Worksheet!E$53,IF(Request!$D51=Worksheet!$A$54,Worksheet!E$54,IF(Request!$D51=Worksheet!$A$55,Worksheet!E$55)))))))))),0))))))))</f>
        <v>0</v>
      </c>
      <c r="P51" s="178">
        <f>IF(P24=0,0,IF(AND($D51="F-SMRA",P24=0),0,IF(AND($D51="F-SMRB",P24=0),0,IF(AND($D51="F-SMRC",P24=0),0,IF($D51=Worksheet!$A$68,Worksheet!F309,IF($D51=Worksheet!$A$69,Worksheet!F309,IF($D51=Worksheet!$A$70,Worksheet!F309,ROUND((Request!P24/Worksheet!$E$5*Worksheet!$E$9*(IF(Request!$D51=Worksheet!$A$47,Worksheet!F$47,IF(Request!$D51=Worksheet!$A$48,Worksheet!F$48,IF(Request!$D51=Worksheet!$A$49,Worksheet!F$49,IF(Request!$D51=Worksheet!$A$50,Worksheet!F$50,IF(Request!$D51=Worksheet!$A$51,Worksheet!F$51,IF(Request!$D51=Worksheet!$A$52,Worksheet!F$52,IF(Request!$D51=Worksheet!$A$53,Worksheet!F$53,IF(Request!$D51=Worksheet!$A$54,Worksheet!F$54,IF(Request!$D51=Worksheet!$A$55,Worksheet!F$55))))))))))),0)+ROUND(P24/Worksheet!$E$5*Worksheet!$E$10*(IF(Request!$D51=Worksheet!$A$47,Worksheet!G$47,IF(Request!$D51=Worksheet!$A$48,Worksheet!G$48,IF(Request!$D51=Worksheet!$A$49,Worksheet!G$49,IF(Request!$D51=Worksheet!$A$50,Worksheet!G$50,IF(Request!$D51=Worksheet!$A$51,Worksheet!G$51,IF(Request!$D51=Worksheet!$A$52,Worksheet!G$52,IF(Request!$D51=Worksheet!$A$53,Worksheet!G$53,IF(Request!$D51=Worksheet!$A$54,Worksheet!G$54,IF(Request!$D51=Worksheet!$A$55,Worksheet!G$55)))))))))),0))))))))</f>
        <v>0</v>
      </c>
      <c r="Q51" s="178">
        <f>IF(Q24=0,0,IF(AND($D51="F-SMRA",Q24=0),0,IF(AND($D51="F-SMRB",Q24=0),0,IF(AND($D51="F-SMRC",Q24=0),0,IF($D51=Worksheet!$A$68,Worksheet!H309,IF($D51=Worksheet!$A$69,Worksheet!H309,IF($D51=Worksheet!$A$70,Worksheet!H309,ROUND((Request!Q24/Worksheet!$F$5*Worksheet!$F$9*(IF(Request!$D51=Worksheet!$A$47,Worksheet!H$47,IF(Request!$D51=Worksheet!$A$48,Worksheet!H$48,IF(Request!$D51=Worksheet!$A$49,Worksheet!H$49,IF(Request!$D51=Worksheet!$A$50,Worksheet!H$50,IF(Request!$D51=Worksheet!$A$51,Worksheet!H$51,IF(Request!$D51=Worksheet!$A$52,Worksheet!H$52,IF(Request!$D51=Worksheet!$A$53,Worksheet!H$53,IF(Request!$D51=Worksheet!$A$54,Worksheet!H$54,IF(Request!$D51=Worksheet!$A$55,Worksheet!H$55))))))))))),0)+ROUND(Q24/Worksheet!$F$5*Worksheet!$F$10*(IF(Request!$D51=Worksheet!$A$47,Worksheet!I$47,IF(Request!$D51=Worksheet!$A$48,Worksheet!I$48,IF(Request!$D51=Worksheet!$A$49,Worksheet!I$49,IF(Request!$D51=Worksheet!$A$50,Worksheet!I$50,IF(Request!$D51=Worksheet!$A$51,Worksheet!I$51,IF(Request!$D51=Worksheet!$A$52,Worksheet!I$52,IF(Request!$D51=Worksheet!$A$53,Worksheet!I$53,IF(Request!$D51=Worksheet!$A$54,Worksheet!I$54,IF(Request!$D51=Worksheet!$A$55,Worksheet!I$55)))))))))),0))))))))</f>
        <v>0</v>
      </c>
      <c r="R51" s="178">
        <f>IF(R24=0,0,IF(AND($D51="F-SMRA",R24=0),0,IF(AND($D51="F-SMRB",R24=0),0,IF(AND($D51="F-SMRC",R24=0),0,IF($D51=Worksheet!$A$68,Worksheet!J309,IF($D51=Worksheet!$A$69,Worksheet!J309,IF($D51=Worksheet!$A$70,Worksheet!J309,ROUND((Request!R24/Worksheet!$G$5*Worksheet!$G$9*(IF(Request!$D51=Worksheet!$A$47,Worksheet!J$47,IF(Request!$D51=Worksheet!$A$48,Worksheet!J$48,IF(Request!$D51=Worksheet!$A$49,Worksheet!J$49,IF(Request!$D51=Worksheet!$A$50,Worksheet!J$50,IF(Request!$D51=Worksheet!$A$51,Worksheet!J$51,IF(Request!$D51=Worksheet!$A$52,Worksheet!J$52,IF(Request!$D51=Worksheet!$A$53,Worksheet!J$53,IF(Request!$D51=Worksheet!$A$54,Worksheet!J$54,IF(Request!$D51=Worksheet!$A$55,Worksheet!J$55))))))))))),0)+ROUND(R24/Worksheet!$G$5*Worksheet!$G$10*(IF(Request!$D51=Worksheet!$A$47,Worksheet!K$47,IF(Request!$D51=Worksheet!$A$48,Worksheet!K$48,IF(Request!$D51=Worksheet!$A$49,Worksheet!K$49,IF(Request!$D51=Worksheet!$A$50,Worksheet!K$50,IF(Request!$D51=Worksheet!$A$51,Worksheet!K$51,IF(Request!$D51=Worksheet!$A$52,Worksheet!K$52,IF(Request!$D51=Worksheet!$A$53,Worksheet!K$53,IF(Request!$D51=Worksheet!$A$54,Worksheet!K$54,IF(Request!$D51=Worksheet!$A$55,Worksheet!K$55)))))))))),0))))))))</f>
        <v>0</v>
      </c>
      <c r="S51" s="142">
        <f t="shared" si="7"/>
        <v>0</v>
      </c>
      <c r="T51" s="188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</row>
    <row r="52" spans="1:41" hidden="1" x14ac:dyDescent="0.15">
      <c r="A52" s="91">
        <v>10</v>
      </c>
      <c r="B52" s="276">
        <f t="shared" si="8"/>
        <v>0</v>
      </c>
      <c r="C52" s="277"/>
      <c r="D52" s="154" t="s">
        <v>51</v>
      </c>
      <c r="E52" s="172" t="str">
        <f>IF($D52=Worksheet!$A$59,Worksheet!B$59,IF($D52=Worksheet!$A$60,Worksheet!B$60,IF($D52=Worksheet!$A$61,Worksheet!B$61,IF($D52=Worksheet!$A$62,Worksheet!B$62,IF($D52=Worksheet!$A$63,Worksheet!B$63,IF($D52=Worksheet!$A$64,Worksheet!B$64,IF($D52=Worksheet!$A$65,Worksheet!B$65,IF($D52=Worksheet!$A$66,Worksheet!B$66,IF($D52=Worksheet!$A$67,Worksheet!B$67,IF($D52=Worksheet!$A$68,Worksheet!B284,IF($D52=Worksheet!$A$69,Worksheet!B284,IF($D52=Worksheet!$A$70,Worksheet!B284,IF($D52=Worksheet!$A$71,"")))))))))))))</f>
        <v/>
      </c>
      <c r="F52" s="271" t="str">
        <f>IF($D52=Worksheet!$A$59,Worksheet!C$59,IF($D52=Worksheet!$A$60,Worksheet!C$60,IF($D52=Worksheet!$A$61,Worksheet!C$61,IF($D52=Worksheet!$A$62,Worksheet!C$62,IF($D52=Worksheet!$A$63,Worksheet!C$63,IF($D52=Worksheet!$A$64,Worksheet!C$64,IF($D52=Worksheet!$A$65,Worksheet!C$65,IF($D52=Worksheet!$A$66,Worksheet!C$66,IF($D52=Worksheet!$A$67,Worksheet!C$67,IF($D52=Worksheet!$A$68,Worksheet!D284,IF($D52=Worksheet!$A$69,Worksheet!D284,IF($D52=Worksheet!$A$70,Worksheet!D284,IF($D52=Worksheet!$A$71,"")))))))))))))</f>
        <v/>
      </c>
      <c r="G52" s="272"/>
      <c r="H52" s="244" t="str">
        <f>IF($D52=Worksheet!$A$59,Worksheet!D$59,IF($D52=Worksheet!$A$60,Worksheet!D$60,IF($D52=Worksheet!$A$61,Worksheet!D$61,IF($D52=Worksheet!$A$62,Worksheet!D$62,IF($D52=Worksheet!$A$63,Worksheet!D$63,IF($D52=Worksheet!$A$64,Worksheet!D$64,IF($D52=Worksheet!$A$65,Worksheet!D$65,IF($D52=Worksheet!$A$66,Worksheet!D$66,IF($D52=Worksheet!$A$67,Worksheet!D$67,IF($D52=Worksheet!$A$68,Worksheet!F284,IF($D52=Worksheet!$A$69,Worksheet!F284,IF($D52=Worksheet!$A$70,Worksheet!F284,IF($D52=Worksheet!$A$71,"")))))))))))))</f>
        <v/>
      </c>
      <c r="I52" s="245"/>
      <c r="J52" s="244" t="str">
        <f>IF($D52=Worksheet!$A$59,Worksheet!E$59,IF($D52=Worksheet!$A$60,Worksheet!E$60,IF($D52=Worksheet!$A$61,Worksheet!E$61,IF($D52=Worksheet!$A$62,Worksheet!E$62,IF($D52=Worksheet!$A$63,Worksheet!E$63,IF($D52=Worksheet!$A$64,Worksheet!E$64,IF($D52=Worksheet!$A$65,Worksheet!E$65,IF($D52=Worksheet!$A$66,Worksheet!E$66,IF($D52=Worksheet!$A$67,Worksheet!E$67,IF($D52=Worksheet!$A$68,Worksheet!H284,IF($D52=Worksheet!$A$69,Worksheet!H284,IF($D52=Worksheet!$A$70,Worksheet!H284,IF($D52=Worksheet!$A$71,"")))))))))))))</f>
        <v/>
      </c>
      <c r="K52" s="245"/>
      <c r="L52" s="244" t="str">
        <f>IF($D52=Worksheet!$A$59,Worksheet!F$59,IF($D52=Worksheet!$A$60,Worksheet!F$60,IF($D52=Worksheet!$A$61,Worksheet!F$61,IF($D52=Worksheet!$A$62,Worksheet!F$62,IF($D52=Worksheet!$A$63,Worksheet!F$63,IF($D52=Worksheet!$A$64,Worksheet!F$64,IF($D52=Worksheet!$A$65,Worksheet!F$65,IF($D52=Worksheet!$A$66,Worksheet!F$66,IF($D52=Worksheet!$A$67,Worksheet!F$67,IF($D52=Worksheet!$A$68,Worksheet!J284,IF($D52=Worksheet!$A$69,Worksheet!J284,IF($D52=Worksheet!$A$70,Worksheet!J284,IF($D52=Worksheet!$A$71,"")))))))))))))</f>
        <v/>
      </c>
      <c r="M52" s="245"/>
      <c r="N52" s="178">
        <f>IF(N25=0,0,IF(AND($D52="F-SMRA",N25=0),0,IF(AND($D52="F-SMRB",N25=0),0,IF(AND($D52="F-SMRC",N25=0),0,IF($D52=Worksheet!$A$68,Worksheet!B310,IF($D52=Worksheet!$A$69,Worksheet!B310,IF($D52=Worksheet!$A$70,Worksheet!B310,ROUND((Request!N25/Worksheet!$C$5*Worksheet!$C$9*(IF(Request!$D52=Worksheet!$A$47,Worksheet!B$47,IF(Request!$D52=Worksheet!$A$48,Worksheet!B$48,IF(Request!$D52=Worksheet!$A$49,Worksheet!B$49,IF(Request!$D52=Worksheet!$A$50,Worksheet!B$50,IF(Request!$D52=Worksheet!$A$51,Worksheet!B$51,IF(Request!$D52=Worksheet!$A$52,Worksheet!B$52,IF(Request!$D52=Worksheet!$A$53,Worksheet!B$53,IF(Request!$D52=Worksheet!$A$54,Worksheet!B$54,IF(Request!$D52=Worksheet!$A$55,Worksheet!B$55))))))))))),0)+ROUND(N25/Worksheet!$C$5*Worksheet!$C$10*(IF(Request!$D52=Worksheet!$A$47,Worksheet!C$47,IF(Request!$D52=Worksheet!$A$48,Worksheet!C$48,IF(Request!$D52=Worksheet!$A$49,Worksheet!C$49,IF(Request!$D52=Worksheet!$A$50,Worksheet!C$50,IF(Request!$D52=Worksheet!$A$51,Worksheet!C$51,IF(Request!$D52=Worksheet!$A$52,Worksheet!C$52,IF(Request!$D52=Worksheet!$A$53,Worksheet!C$53,IF(Request!$D52=Worksheet!$A$54,Worksheet!C$54,IF(Request!$D52=Worksheet!$A$55,Worksheet!C$55)))))))))),0))))))))</f>
        <v>0</v>
      </c>
      <c r="O52" s="178">
        <f>IF(O25=0,0,IF(AND($D52="F-SMRA",O25=0),0,IF(AND($D52="F-SMRB",O25=0),0,IF(AND($D52="F-SMRC",O25=0),0,IF($D52=Worksheet!$A$68,Worksheet!D310,IF($D52=Worksheet!$A$69,Worksheet!D310,IF($D52=Worksheet!$A$70,Worksheet!D310,ROUND((Request!O25/Worksheet!$D$5*Worksheet!$D$9*(IF(Request!$D52=Worksheet!$A$47,Worksheet!D$47,IF(Request!$D52=Worksheet!$A$48,Worksheet!D$48,IF(Request!$D52=Worksheet!$A$49,Worksheet!D$49,IF(Request!$D52=Worksheet!$A$50,Worksheet!D$50,IF(Request!$D52=Worksheet!$A$51,Worksheet!D$51,IF(Request!$D52=Worksheet!$A$52,Worksheet!D$52,IF(Request!$D52=Worksheet!$A$53,Worksheet!D$53,IF(Request!$D52=Worksheet!$A$54,Worksheet!D$54,IF(Request!$D52=Worksheet!$A$55,Worksheet!D$55))))))))))),0)+ROUND(O25/Worksheet!$D$5*Worksheet!$D$10*(IF(Request!$D52=Worksheet!$A$47,Worksheet!E$47,IF(Request!$D52=Worksheet!$A$48,Worksheet!E$48,IF(Request!$D52=Worksheet!$A$49,Worksheet!E$49,IF(Request!$D52=Worksheet!$A$50,Worksheet!E$50,IF(Request!$D52=Worksheet!$A$51,Worksheet!E$51,IF(Request!$D52=Worksheet!$A$52,Worksheet!E$52,IF(Request!$D52=Worksheet!$A$53,Worksheet!E$53,IF(Request!$D52=Worksheet!$A$54,Worksheet!E$54,IF(Request!$D52=Worksheet!$A$55,Worksheet!E$55)))))))))),0))))))))</f>
        <v>0</v>
      </c>
      <c r="P52" s="178">
        <f>IF(P25=0,0,IF(AND($D52="F-SMRA",P25=0),0,IF(AND($D52="F-SMRB",P25=0),0,IF(AND($D52="F-SMRC",P25=0),0,IF($D52=Worksheet!$A$68,Worksheet!F310,IF($D52=Worksheet!$A$69,Worksheet!F310,IF($D52=Worksheet!$A$70,Worksheet!F310,ROUND((Request!P25/Worksheet!$E$5*Worksheet!$E$9*(IF(Request!$D52=Worksheet!$A$47,Worksheet!F$47,IF(Request!$D52=Worksheet!$A$48,Worksheet!F$48,IF(Request!$D52=Worksheet!$A$49,Worksheet!F$49,IF(Request!$D52=Worksheet!$A$50,Worksheet!F$50,IF(Request!$D52=Worksheet!$A$51,Worksheet!F$51,IF(Request!$D52=Worksheet!$A$52,Worksheet!F$52,IF(Request!$D52=Worksheet!$A$53,Worksheet!F$53,IF(Request!$D52=Worksheet!$A$54,Worksheet!F$54,IF(Request!$D52=Worksheet!$A$55,Worksheet!F$55))))))))))),0)+ROUND(P25/Worksheet!$E$5*Worksheet!$E$10*(IF(Request!$D52=Worksheet!$A$47,Worksheet!G$47,IF(Request!$D52=Worksheet!$A$48,Worksheet!G$48,IF(Request!$D52=Worksheet!$A$49,Worksheet!G$49,IF(Request!$D52=Worksheet!$A$50,Worksheet!G$50,IF(Request!$D52=Worksheet!$A$51,Worksheet!G$51,IF(Request!$D52=Worksheet!$A$52,Worksheet!G$52,IF(Request!$D52=Worksheet!$A$53,Worksheet!G$53,IF(Request!$D52=Worksheet!$A$54,Worksheet!G$54,IF(Request!$D52=Worksheet!$A$55,Worksheet!G$55)))))))))),0))))))))</f>
        <v>0</v>
      </c>
      <c r="Q52" s="178">
        <f>IF(Q25=0,0,IF(AND($D52="F-SMRA",Q25=0),0,IF(AND($D52="F-SMRB",Q25=0),0,IF(AND($D52="F-SMRC",Q25=0),0,IF($D52=Worksheet!$A$68,Worksheet!H310,IF($D52=Worksheet!$A$69,Worksheet!H310,IF($D52=Worksheet!$A$70,Worksheet!H310,ROUND((Request!Q25/Worksheet!$F$5*Worksheet!$F$9*(IF(Request!$D52=Worksheet!$A$47,Worksheet!H$47,IF(Request!$D52=Worksheet!$A$48,Worksheet!H$48,IF(Request!$D52=Worksheet!$A$49,Worksheet!H$49,IF(Request!$D52=Worksheet!$A$50,Worksheet!H$50,IF(Request!$D52=Worksheet!$A$51,Worksheet!H$51,IF(Request!$D52=Worksheet!$A$52,Worksheet!H$52,IF(Request!$D52=Worksheet!$A$53,Worksheet!H$53,IF(Request!$D52=Worksheet!$A$54,Worksheet!H$54,IF(Request!$D52=Worksheet!$A$55,Worksheet!H$55))))))))))),0)+ROUND(Q25/Worksheet!$F$5*Worksheet!$F$10*(IF(Request!$D52=Worksheet!$A$47,Worksheet!I$47,IF(Request!$D52=Worksheet!$A$48,Worksheet!I$48,IF(Request!$D52=Worksheet!$A$49,Worksheet!I$49,IF(Request!$D52=Worksheet!$A$50,Worksheet!I$50,IF(Request!$D52=Worksheet!$A$51,Worksheet!I$51,IF(Request!$D52=Worksheet!$A$52,Worksheet!I$52,IF(Request!$D52=Worksheet!$A$53,Worksheet!I$53,IF(Request!$D52=Worksheet!$A$54,Worksheet!I$54,IF(Request!$D52=Worksheet!$A$55,Worksheet!I$55)))))))))),0))))))))</f>
        <v>0</v>
      </c>
      <c r="R52" s="178">
        <f>IF(R25=0,0,IF(AND($D52="F-SMRA",R25=0),0,IF(AND($D52="F-SMRB",R25=0),0,IF(AND($D52="F-SMRC",R25=0),0,IF($D52=Worksheet!$A$68,Worksheet!J310,IF($D52=Worksheet!$A$69,Worksheet!J310,IF($D52=Worksheet!$A$70,Worksheet!J310,ROUND((Request!R25/Worksheet!$G$5*Worksheet!$G$9*(IF(Request!$D52=Worksheet!$A$47,Worksheet!J$47,IF(Request!$D52=Worksheet!$A$48,Worksheet!J$48,IF(Request!$D52=Worksheet!$A$49,Worksheet!J$49,IF(Request!$D52=Worksheet!$A$50,Worksheet!J$50,IF(Request!$D52=Worksheet!$A$51,Worksheet!J$51,IF(Request!$D52=Worksheet!$A$52,Worksheet!J$52,IF(Request!$D52=Worksheet!$A$53,Worksheet!J$53,IF(Request!$D52=Worksheet!$A$54,Worksheet!J$54,IF(Request!$D52=Worksheet!$A$55,Worksheet!J$55))))))))))),0)+ROUND(R25/Worksheet!$G$5*Worksheet!$G$10*(IF(Request!$D52=Worksheet!$A$47,Worksheet!K$47,IF(Request!$D52=Worksheet!$A$48,Worksheet!K$48,IF(Request!$D52=Worksheet!$A$49,Worksheet!K$49,IF(Request!$D52=Worksheet!$A$50,Worksheet!K$50,IF(Request!$D52=Worksheet!$A$51,Worksheet!K$51,IF(Request!$D52=Worksheet!$A$52,Worksheet!K$52,IF(Request!$D52=Worksheet!$A$53,Worksheet!K$53,IF(Request!$D52=Worksheet!$A$54,Worksheet!K$54,IF(Request!$D52=Worksheet!$A$55,Worksheet!K$55)))))))))),0))))))))</f>
        <v>0</v>
      </c>
      <c r="S52" s="142">
        <f t="shared" si="7"/>
        <v>0</v>
      </c>
      <c r="T52" s="188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</row>
    <row r="53" spans="1:41" hidden="1" x14ac:dyDescent="0.15">
      <c r="A53" s="91">
        <v>11</v>
      </c>
      <c r="B53" s="276">
        <f t="shared" si="8"/>
        <v>0</v>
      </c>
      <c r="C53" s="277"/>
      <c r="D53" s="154" t="s">
        <v>51</v>
      </c>
      <c r="E53" s="172" t="str">
        <f>IF($D53=Worksheet!$A$59,Worksheet!B$59,IF($D53=Worksheet!$A$60,Worksheet!B$60,IF($D53=Worksheet!$A$61,Worksheet!B$61,IF($D53=Worksheet!$A$62,Worksheet!B$62,IF($D53=Worksheet!$A$63,Worksheet!B$63,IF($D53=Worksheet!$A$64,Worksheet!B$64,IF($D53=Worksheet!$A$65,Worksheet!B$65,IF($D53=Worksheet!$A$66,Worksheet!B$66,IF($D53=Worksheet!$A$67,Worksheet!B$67,IF($D53=Worksheet!$A$68,Worksheet!B285,IF($D53=Worksheet!$A$69,Worksheet!B285,IF($D53=Worksheet!$A$70,Worksheet!B285,IF($D53=Worksheet!$A$71,"")))))))))))))</f>
        <v/>
      </c>
      <c r="F53" s="271" t="str">
        <f>IF($D53=Worksheet!$A$59,Worksheet!C$59,IF($D53=Worksheet!$A$60,Worksheet!C$60,IF($D53=Worksheet!$A$61,Worksheet!C$61,IF($D53=Worksheet!$A$62,Worksheet!C$62,IF($D53=Worksheet!$A$63,Worksheet!C$63,IF($D53=Worksheet!$A$64,Worksheet!C$64,IF($D53=Worksheet!$A$65,Worksheet!C$65,IF($D53=Worksheet!$A$66,Worksheet!C$66,IF($D53=Worksheet!$A$67,Worksheet!C$67,IF($D53=Worksheet!$A$68,Worksheet!D285,IF($D53=Worksheet!$A$69,Worksheet!D285,IF($D53=Worksheet!$A$70,Worksheet!D285,IF($D53=Worksheet!$A$71,"")))))))))))))</f>
        <v/>
      </c>
      <c r="G53" s="272"/>
      <c r="H53" s="244" t="str">
        <f>IF($D53=Worksheet!$A$59,Worksheet!D$59,IF($D53=Worksheet!$A$60,Worksheet!D$60,IF($D53=Worksheet!$A$61,Worksheet!D$61,IF($D53=Worksheet!$A$62,Worksheet!D$62,IF($D53=Worksheet!$A$63,Worksheet!D$63,IF($D53=Worksheet!$A$64,Worksheet!D$64,IF($D53=Worksheet!$A$65,Worksheet!D$65,IF($D53=Worksheet!$A$66,Worksheet!D$66,IF($D53=Worksheet!$A$67,Worksheet!D$67,IF($D53=Worksheet!$A$68,Worksheet!F285,IF($D53=Worksheet!$A$69,Worksheet!F285,IF($D53=Worksheet!$A$70,Worksheet!F285,IF($D53=Worksheet!$A$71,"")))))))))))))</f>
        <v/>
      </c>
      <c r="I53" s="245"/>
      <c r="J53" s="244" t="str">
        <f>IF($D53=Worksheet!$A$59,Worksheet!E$59,IF($D53=Worksheet!$A$60,Worksheet!E$60,IF($D53=Worksheet!$A$61,Worksheet!E$61,IF($D53=Worksheet!$A$62,Worksheet!E$62,IF($D53=Worksheet!$A$63,Worksheet!E$63,IF($D53=Worksheet!$A$64,Worksheet!E$64,IF($D53=Worksheet!$A$65,Worksheet!E$65,IF($D53=Worksheet!$A$66,Worksheet!E$66,IF($D53=Worksheet!$A$67,Worksheet!E$67,IF($D53=Worksheet!$A$68,Worksheet!H285,IF($D53=Worksheet!$A$69,Worksheet!H285,IF($D53=Worksheet!$A$70,Worksheet!H285,IF($D53=Worksheet!$A$71,"")))))))))))))</f>
        <v/>
      </c>
      <c r="K53" s="245"/>
      <c r="L53" s="244" t="str">
        <f>IF($D53=Worksheet!$A$59,Worksheet!F$59,IF($D53=Worksheet!$A$60,Worksheet!F$60,IF($D53=Worksheet!$A$61,Worksheet!F$61,IF($D53=Worksheet!$A$62,Worksheet!F$62,IF($D53=Worksheet!$A$63,Worksheet!F$63,IF($D53=Worksheet!$A$64,Worksheet!F$64,IF($D53=Worksheet!$A$65,Worksheet!F$65,IF($D53=Worksheet!$A$66,Worksheet!F$66,IF($D53=Worksheet!$A$67,Worksheet!F$67,IF($D53=Worksheet!$A$68,Worksheet!J285,IF($D53=Worksheet!$A$69,Worksheet!J285,IF($D53=Worksheet!$A$70,Worksheet!J285,IF($D53=Worksheet!$A$71,"")))))))))))))</f>
        <v/>
      </c>
      <c r="M53" s="245"/>
      <c r="N53" s="196">
        <f>IF(N26=0,0,IF(AND($D53="F-SMRA",N26=0),0,IF(AND($D53="F-SMRB",N26=0),0,IF(AND($D53="F-SMRC",N26=0),0,IF($D53=Worksheet!$A$68,Worksheet!B311,IF($D53=Worksheet!$A$69,Worksheet!B311,IF($D53=Worksheet!$A$70,Worksheet!B311,ROUND((Request!N26/Worksheet!$C$5*Worksheet!$C$9*(IF(Request!$D53=Worksheet!$A$47,Worksheet!B$47,IF(Request!$D53=Worksheet!$A$48,Worksheet!B$48,IF(Request!$D53=Worksheet!$A$49,Worksheet!B$49,IF(Request!$D53=Worksheet!$A$50,Worksheet!B$50,IF(Request!$D53=Worksheet!$A$51,Worksheet!B$51,IF(Request!$D53=Worksheet!$A$52,Worksheet!B$52,IF(Request!$D53=Worksheet!$A$53,Worksheet!B$53,IF(Request!$D53=Worksheet!$A$54,Worksheet!B$54,IF(Request!$D53=Worksheet!$A$55,Worksheet!B$55))))))))))),0)+ROUND(N26/Worksheet!$C$5*Worksheet!$C$10*(IF(Request!$D53=Worksheet!$A$47,Worksheet!C$47,IF(Request!$D53=Worksheet!$A$48,Worksheet!C$48,IF(Request!$D53=Worksheet!$A$49,Worksheet!C$49,IF(Request!$D53=Worksheet!$A$50,Worksheet!C$50,IF(Request!$D53=Worksheet!$A$51,Worksheet!C$51,IF(Request!$D53=Worksheet!$A$52,Worksheet!C$52,IF(Request!$D53=Worksheet!$A$53,Worksheet!C$53,IF(Request!$D53=Worksheet!$A$54,Worksheet!C$54,IF(Request!$D53=Worksheet!$A$55,Worksheet!C$55)))))))))),0))))))))</f>
        <v>0</v>
      </c>
      <c r="O53" s="178">
        <f>IF(O26=0,0,IF(AND($D53="F-SMRA",O26=0),0,IF(AND($D53="F-SMRB",O26=0),0,IF(AND($D53="F-SMRC",O26=0),0,IF($D53=Worksheet!$A$68,Worksheet!D311,IF($D53=Worksheet!$A$69,Worksheet!D311,IF($D53=Worksheet!$A$70,Worksheet!D311,ROUND((Request!O26/Worksheet!$D$5*Worksheet!$D$9*(IF(Request!$D53=Worksheet!$A$47,Worksheet!D$47,IF(Request!$D53=Worksheet!$A$48,Worksheet!D$48,IF(Request!$D53=Worksheet!$A$49,Worksheet!D$49,IF(Request!$D53=Worksheet!$A$50,Worksheet!D$50,IF(Request!$D53=Worksheet!$A$51,Worksheet!D$51,IF(Request!$D53=Worksheet!$A$52,Worksheet!D$52,IF(Request!$D53=Worksheet!$A$53,Worksheet!D$53,IF(Request!$D53=Worksheet!$A$54,Worksheet!D$54,IF(Request!$D53=Worksheet!$A$55,Worksheet!D$55))))))))))),0)+ROUND(O26/Worksheet!$D$5*Worksheet!$D$10*(IF(Request!$D53=Worksheet!$A$47,Worksheet!E$47,IF(Request!$D53=Worksheet!$A$48,Worksheet!E$48,IF(Request!$D53=Worksheet!$A$49,Worksheet!E$49,IF(Request!$D53=Worksheet!$A$50,Worksheet!E$50,IF(Request!$D53=Worksheet!$A$51,Worksheet!E$51,IF(Request!$D53=Worksheet!$A$52,Worksheet!E$52,IF(Request!$D53=Worksheet!$A$53,Worksheet!E$53,IF(Request!$D53=Worksheet!$A$54,Worksheet!E$54,IF(Request!$D53=Worksheet!$A$55,Worksheet!E$55)))))))))),0))))))))</f>
        <v>0</v>
      </c>
      <c r="P53" s="178">
        <f>IF(P26=0,0,IF(AND($D53="F-SMRA",P26=0),0,IF(AND($D53="F-SMRB",P26=0),0,IF(AND($D53="F-SMRC",P26=0),0,IF($D53=Worksheet!$A$68,Worksheet!F311,IF($D53=Worksheet!$A$69,Worksheet!F311,IF($D53=Worksheet!$A$70,Worksheet!F311,ROUND((Request!P26/Worksheet!$E$5*Worksheet!$E$9*(IF(Request!$D53=Worksheet!$A$47,Worksheet!F$47,IF(Request!$D53=Worksheet!$A$48,Worksheet!F$48,IF(Request!$D53=Worksheet!$A$49,Worksheet!F$49,IF(Request!$D53=Worksheet!$A$50,Worksheet!F$50,IF(Request!$D53=Worksheet!$A$51,Worksheet!F$51,IF(Request!$D53=Worksheet!$A$52,Worksheet!F$52,IF(Request!$D53=Worksheet!$A$53,Worksheet!F$53,IF(Request!$D53=Worksheet!$A$54,Worksheet!F$54,IF(Request!$D53=Worksheet!$A$55,Worksheet!F$55))))))))))),0)+ROUND(P26/Worksheet!$E$5*Worksheet!$E$10*(IF(Request!$D53=Worksheet!$A$47,Worksheet!G$47,IF(Request!$D53=Worksheet!$A$48,Worksheet!G$48,IF(Request!$D53=Worksheet!$A$49,Worksheet!G$49,IF(Request!$D53=Worksheet!$A$50,Worksheet!G$50,IF(Request!$D53=Worksheet!$A$51,Worksheet!G$51,IF(Request!$D53=Worksheet!$A$52,Worksheet!G$52,IF(Request!$D53=Worksheet!$A$53,Worksheet!G$53,IF(Request!$D53=Worksheet!$A$54,Worksheet!G$54,IF(Request!$D53=Worksheet!$A$55,Worksheet!G$55)))))))))),0))))))))</f>
        <v>0</v>
      </c>
      <c r="Q53" s="178">
        <f>IF(Q26=0,0,IF(AND($D53="F-SMRA",Q26=0),0,IF(AND($D53="F-SMRB",Q26=0),0,IF(AND($D53="F-SMRC",Q26=0),0,IF($D53=Worksheet!$A$68,Worksheet!H311,IF($D53=Worksheet!$A$69,Worksheet!H311,IF($D53=Worksheet!$A$70,Worksheet!H311,ROUND((Request!Q26/Worksheet!$F$5*Worksheet!$F$9*(IF(Request!$D53=Worksheet!$A$47,Worksheet!H$47,IF(Request!$D53=Worksheet!$A$48,Worksheet!H$48,IF(Request!$D53=Worksheet!$A$49,Worksheet!H$49,IF(Request!$D53=Worksheet!$A$50,Worksheet!H$50,IF(Request!$D53=Worksheet!$A$51,Worksheet!H$51,IF(Request!$D53=Worksheet!$A$52,Worksheet!H$52,IF(Request!$D53=Worksheet!$A$53,Worksheet!H$53,IF(Request!$D53=Worksheet!$A$54,Worksheet!H$54,IF(Request!$D53=Worksheet!$A$55,Worksheet!H$55))))))))))),0)+ROUND(Q26/Worksheet!$F$5*Worksheet!$F$10*(IF(Request!$D53=Worksheet!$A$47,Worksheet!I$47,IF(Request!$D53=Worksheet!$A$48,Worksheet!I$48,IF(Request!$D53=Worksheet!$A$49,Worksheet!I$49,IF(Request!$D53=Worksheet!$A$50,Worksheet!I$50,IF(Request!$D53=Worksheet!$A$51,Worksheet!I$51,IF(Request!$D53=Worksheet!$A$52,Worksheet!I$52,IF(Request!$D53=Worksheet!$A$53,Worksheet!I$53,IF(Request!$D53=Worksheet!$A$54,Worksheet!I$54,IF(Request!$D53=Worksheet!$A$55,Worksheet!I$55)))))))))),0))))))))</f>
        <v>0</v>
      </c>
      <c r="R53" s="178">
        <f>IF(R26=0,0,IF(AND($D53="F-SMRA",R26=0),0,IF(AND($D53="F-SMRB",R26=0),0,IF(AND($D53="F-SMRC",R26=0),0,IF($D53=Worksheet!$A$68,Worksheet!J311,IF($D53=Worksheet!$A$69,Worksheet!J311,IF($D53=Worksheet!$A$70,Worksheet!J311,ROUND((Request!R26/Worksheet!$G$5*Worksheet!$G$9*(IF(Request!$D53=Worksheet!$A$47,Worksheet!J$47,IF(Request!$D53=Worksheet!$A$48,Worksheet!J$48,IF(Request!$D53=Worksheet!$A$49,Worksheet!J$49,IF(Request!$D53=Worksheet!$A$50,Worksheet!J$50,IF(Request!$D53=Worksheet!$A$51,Worksheet!J$51,IF(Request!$D53=Worksheet!$A$52,Worksheet!J$52,IF(Request!$D53=Worksheet!$A$53,Worksheet!J$53,IF(Request!$D53=Worksheet!$A$54,Worksheet!J$54,IF(Request!$D53=Worksheet!$A$55,Worksheet!J$55))))))))))),0)+ROUND(R26/Worksheet!$G$5*Worksheet!$G$10*(IF(Request!$D53=Worksheet!$A$47,Worksheet!K$47,IF(Request!$D53=Worksheet!$A$48,Worksheet!K$48,IF(Request!$D53=Worksheet!$A$49,Worksheet!K$49,IF(Request!$D53=Worksheet!$A$50,Worksheet!K$50,IF(Request!$D53=Worksheet!$A$51,Worksheet!K$51,IF(Request!$D53=Worksheet!$A$52,Worksheet!K$52,IF(Request!$D53=Worksheet!$A$53,Worksheet!K$53,IF(Request!$D53=Worksheet!$A$54,Worksheet!K$54,IF(Request!$D53=Worksheet!$A$55,Worksheet!K$55)))))))))),0))))))))</f>
        <v>0</v>
      </c>
      <c r="S53" s="142">
        <f t="shared" si="7"/>
        <v>0</v>
      </c>
      <c r="T53" s="188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</row>
    <row r="54" spans="1:41" hidden="1" x14ac:dyDescent="0.15">
      <c r="A54" s="91">
        <v>12</v>
      </c>
      <c r="B54" s="276">
        <f t="shared" si="8"/>
        <v>0</v>
      </c>
      <c r="C54" s="277"/>
      <c r="D54" s="154" t="s">
        <v>51</v>
      </c>
      <c r="E54" s="172" t="str">
        <f>IF($D54=Worksheet!$A$59,Worksheet!B$59,IF($D54=Worksheet!$A$60,Worksheet!B$60,IF($D54=Worksheet!$A$61,Worksheet!B$61,IF($D54=Worksheet!$A$62,Worksheet!B$62,IF($D54=Worksheet!$A$63,Worksheet!B$63,IF($D54=Worksheet!$A$64,Worksheet!B$64,IF($D54=Worksheet!$A$65,Worksheet!B$65,IF($D54=Worksheet!$A$66,Worksheet!B$66,IF($D54=Worksheet!$A$67,Worksheet!B$67,IF($D54=Worksheet!$A$68,Worksheet!B286,IF($D54=Worksheet!$A$69,Worksheet!B286,IF($D54=Worksheet!$A$70,Worksheet!B286,IF($D54=Worksheet!$A$71,"")))))))))))))</f>
        <v/>
      </c>
      <c r="F54" s="271" t="str">
        <f>IF($D54=Worksheet!$A$59,Worksheet!C$59,IF($D54=Worksheet!$A$60,Worksheet!C$60,IF($D54=Worksheet!$A$61,Worksheet!C$61,IF($D54=Worksheet!$A$62,Worksheet!C$62,IF($D54=Worksheet!$A$63,Worksheet!C$63,IF($D54=Worksheet!$A$64,Worksheet!C$64,IF($D54=Worksheet!$A$65,Worksheet!C$65,IF($D54=Worksheet!$A$66,Worksheet!C$66,IF($D54=Worksheet!$A$67,Worksheet!C$67,IF($D54=Worksheet!$A$68,Worksheet!D286,IF($D54=Worksheet!$A$69,Worksheet!D286,IF($D54=Worksheet!$A$70,Worksheet!D286,IF($D54=Worksheet!$A$71,"")))))))))))))</f>
        <v/>
      </c>
      <c r="G54" s="272"/>
      <c r="H54" s="244" t="str">
        <f>IF($D54=Worksheet!$A$59,Worksheet!D$59,IF($D54=Worksheet!$A$60,Worksheet!D$60,IF($D54=Worksheet!$A$61,Worksheet!D$61,IF($D54=Worksheet!$A$62,Worksheet!D$62,IF($D54=Worksheet!$A$63,Worksheet!D$63,IF($D54=Worksheet!$A$64,Worksheet!D$64,IF($D54=Worksheet!$A$65,Worksheet!D$65,IF($D54=Worksheet!$A$66,Worksheet!D$66,IF($D54=Worksheet!$A$67,Worksheet!D$67,IF($D54=Worksheet!$A$68,Worksheet!F286,IF($D54=Worksheet!$A$69,Worksheet!F286,IF($D54=Worksheet!$A$70,Worksheet!F286,IF($D54=Worksheet!$A$71,"")))))))))))))</f>
        <v/>
      </c>
      <c r="I54" s="245"/>
      <c r="J54" s="244" t="str">
        <f>IF($D54=Worksheet!$A$59,Worksheet!E$59,IF($D54=Worksheet!$A$60,Worksheet!E$60,IF($D54=Worksheet!$A$61,Worksheet!E$61,IF($D54=Worksheet!$A$62,Worksheet!E$62,IF($D54=Worksheet!$A$63,Worksheet!E$63,IF($D54=Worksheet!$A$64,Worksheet!E$64,IF($D54=Worksheet!$A$65,Worksheet!E$65,IF($D54=Worksheet!$A$66,Worksheet!E$66,IF($D54=Worksheet!$A$67,Worksheet!E$67,IF($D54=Worksheet!$A$68,Worksheet!H286,IF($D54=Worksheet!$A$69,Worksheet!H286,IF($D54=Worksheet!$A$70,Worksheet!H286,IF($D54=Worksheet!$A$71,"")))))))))))))</f>
        <v/>
      </c>
      <c r="K54" s="245"/>
      <c r="L54" s="244" t="str">
        <f>IF($D54=Worksheet!$A$59,Worksheet!F$59,IF($D54=Worksheet!$A$60,Worksheet!F$60,IF($D54=Worksheet!$A$61,Worksheet!F$61,IF($D54=Worksheet!$A$62,Worksheet!F$62,IF($D54=Worksheet!$A$63,Worksheet!F$63,IF($D54=Worksheet!$A$64,Worksheet!F$64,IF($D54=Worksheet!$A$65,Worksheet!F$65,IF($D54=Worksheet!$A$66,Worksheet!F$66,IF($D54=Worksheet!$A$67,Worksheet!F$67,IF($D54=Worksheet!$A$68,Worksheet!J286,IF($D54=Worksheet!$A$69,Worksheet!J286,IF($D54=Worksheet!$A$70,Worksheet!J286,IF($D54=Worksheet!$A$71,"")))))))))))))</f>
        <v/>
      </c>
      <c r="M54" s="245"/>
      <c r="N54" s="178">
        <f>IF(N27=0,0,IF(AND($D54="F-SMRA",N27=0),0,IF(AND($D54="F-SMRB",N27=0),0,IF(AND($D54="F-SMRC",N27=0),0,IF($D54=Worksheet!$A$68,Worksheet!B312,IF($D54=Worksheet!$A$69,Worksheet!B312,IF($D54=Worksheet!$A$70,Worksheet!B312,ROUND((Request!N27/Worksheet!$C$5*Worksheet!$C$9*(IF(Request!$D54=Worksheet!$A$47,Worksheet!B$47,IF(Request!$D54=Worksheet!$A$48,Worksheet!B$48,IF(Request!$D54=Worksheet!$A$49,Worksheet!B$49,IF(Request!$D54=Worksheet!$A$50,Worksheet!B$50,IF(Request!$D54=Worksheet!$A$51,Worksheet!B$51,IF(Request!$D54=Worksheet!$A$52,Worksheet!B$52,IF(Request!$D54=Worksheet!$A$53,Worksheet!B$53,IF(Request!$D54=Worksheet!$A$54,Worksheet!B$54,IF(Request!$D54=Worksheet!$A$55,Worksheet!B$55))))))))))),0)+ROUND(N27/Worksheet!$C$5*Worksheet!$C$10*(IF(Request!$D54=Worksheet!$A$47,Worksheet!C$47,IF(Request!$D54=Worksheet!$A$48,Worksheet!C$48,IF(Request!$D54=Worksheet!$A$49,Worksheet!C$49,IF(Request!$D54=Worksheet!$A$50,Worksheet!C$50,IF(Request!$D54=Worksheet!$A$51,Worksheet!C$51,IF(Request!$D54=Worksheet!$A$52,Worksheet!C$52,IF(Request!$D54=Worksheet!$A$53,Worksheet!C$53,IF(Request!$D54=Worksheet!$A$54,Worksheet!C$54,IF(Request!$D54=Worksheet!$A$55,Worksheet!C$55)))))))))),0))))))))</f>
        <v>0</v>
      </c>
      <c r="O54" s="178">
        <f>IF(O27=0,0,IF(AND($D54="F-SMRA",O27=0),0,IF(AND($D54="F-SMRB",O27=0),0,IF(AND($D54="F-SMRC",O27=0),0,IF($D54=Worksheet!$A$68,Worksheet!D312,IF($D54=Worksheet!$A$69,Worksheet!D312,IF($D54=Worksheet!$A$70,Worksheet!D312,ROUND((Request!O27/Worksheet!$D$5*Worksheet!$D$9*(IF(Request!$D54=Worksheet!$A$47,Worksheet!D$47,IF(Request!$D54=Worksheet!$A$48,Worksheet!D$48,IF(Request!$D54=Worksheet!$A$49,Worksheet!D$49,IF(Request!$D54=Worksheet!$A$50,Worksheet!D$50,IF(Request!$D54=Worksheet!$A$51,Worksheet!D$51,IF(Request!$D54=Worksheet!$A$52,Worksheet!D$52,IF(Request!$D54=Worksheet!$A$53,Worksheet!D$53,IF(Request!$D54=Worksheet!$A$54,Worksheet!D$54,IF(Request!$D54=Worksheet!$A$55,Worksheet!D$55))))))))))),0)+ROUND(O27/Worksheet!$D$5*Worksheet!$D$10*(IF(Request!$D54=Worksheet!$A$47,Worksheet!E$47,IF(Request!$D54=Worksheet!$A$48,Worksheet!E$48,IF(Request!$D54=Worksheet!$A$49,Worksheet!E$49,IF(Request!$D54=Worksheet!$A$50,Worksheet!E$50,IF(Request!$D54=Worksheet!$A$51,Worksheet!E$51,IF(Request!$D54=Worksheet!$A$52,Worksheet!E$52,IF(Request!$D54=Worksheet!$A$53,Worksheet!E$53,IF(Request!$D54=Worksheet!$A$54,Worksheet!E$54,IF(Request!$D54=Worksheet!$A$55,Worksheet!E$55)))))))))),0))))))))</f>
        <v>0</v>
      </c>
      <c r="P54" s="178">
        <f>IF(P27=0,0,IF(AND($D54="F-SMRA",P27=0),0,IF(AND($D54="F-SMRB",P27=0),0,IF(AND($D54="F-SMRC",P27=0),0,IF($D54=Worksheet!$A$68,Worksheet!F312,IF($D54=Worksheet!$A$69,Worksheet!F312,IF($D54=Worksheet!$A$70,Worksheet!F312,ROUND((Request!P27/Worksheet!$E$5*Worksheet!$E$9*(IF(Request!$D54=Worksheet!$A$47,Worksheet!F$47,IF(Request!$D54=Worksheet!$A$48,Worksheet!F$48,IF(Request!$D54=Worksheet!$A$49,Worksheet!F$49,IF(Request!$D54=Worksheet!$A$50,Worksheet!F$50,IF(Request!$D54=Worksheet!$A$51,Worksheet!F$51,IF(Request!$D54=Worksheet!$A$52,Worksheet!F$52,IF(Request!$D54=Worksheet!$A$53,Worksheet!F$53,IF(Request!$D54=Worksheet!$A$54,Worksheet!F$54,IF(Request!$D54=Worksheet!$A$55,Worksheet!F$55))))))))))),0)+ROUND(P27/Worksheet!$E$5*Worksheet!$E$10*(IF(Request!$D54=Worksheet!$A$47,Worksheet!G$47,IF(Request!$D54=Worksheet!$A$48,Worksheet!G$48,IF(Request!$D54=Worksheet!$A$49,Worksheet!G$49,IF(Request!$D54=Worksheet!$A$50,Worksheet!G$50,IF(Request!$D54=Worksheet!$A$51,Worksheet!G$51,IF(Request!$D54=Worksheet!$A$52,Worksheet!G$52,IF(Request!$D54=Worksheet!$A$53,Worksheet!G$53,IF(Request!$D54=Worksheet!$A$54,Worksheet!G$54,IF(Request!$D54=Worksheet!$A$55,Worksheet!G$55)))))))))),0))))))))</f>
        <v>0</v>
      </c>
      <c r="Q54" s="178">
        <f>IF(Q27=0,0,IF(AND($D54="F-SMRA",Q27=0),0,IF(AND($D54="F-SMRB",Q27=0),0,IF(AND($D54="F-SMRC",Q27=0),0,IF($D54=Worksheet!$A$68,Worksheet!H312,IF($D54=Worksheet!$A$69,Worksheet!H312,IF($D54=Worksheet!$A$70,Worksheet!H312,ROUND((Request!Q27/Worksheet!$F$5*Worksheet!$F$9*(IF(Request!$D54=Worksheet!$A$47,Worksheet!H$47,IF(Request!$D54=Worksheet!$A$48,Worksheet!H$48,IF(Request!$D54=Worksheet!$A$49,Worksheet!H$49,IF(Request!$D54=Worksheet!$A$50,Worksheet!H$50,IF(Request!$D54=Worksheet!$A$51,Worksheet!H$51,IF(Request!$D54=Worksheet!$A$52,Worksheet!H$52,IF(Request!$D54=Worksheet!$A$53,Worksheet!H$53,IF(Request!$D54=Worksheet!$A$54,Worksheet!H$54,IF(Request!$D54=Worksheet!$A$55,Worksheet!H$55))))))))))),0)+ROUND(Q27/Worksheet!$F$5*Worksheet!$F$10*(IF(Request!$D54=Worksheet!$A$47,Worksheet!I$47,IF(Request!$D54=Worksheet!$A$48,Worksheet!I$48,IF(Request!$D54=Worksheet!$A$49,Worksheet!I$49,IF(Request!$D54=Worksheet!$A$50,Worksheet!I$50,IF(Request!$D54=Worksheet!$A$51,Worksheet!I$51,IF(Request!$D54=Worksheet!$A$52,Worksheet!I$52,IF(Request!$D54=Worksheet!$A$53,Worksheet!I$53,IF(Request!$D54=Worksheet!$A$54,Worksheet!I$54,IF(Request!$D54=Worksheet!$A$55,Worksheet!I$55)))))))))),0))))))))</f>
        <v>0</v>
      </c>
      <c r="R54" s="178">
        <f>IF(R27=0,0,IF(AND($D54="F-SMRA",R27=0),0,IF(AND($D54="F-SMRB",R27=0),0,IF(AND($D54="F-SMRC",R27=0),0,IF($D54=Worksheet!$A$68,Worksheet!J312,IF($D54=Worksheet!$A$69,Worksheet!J312,IF($D54=Worksheet!$A$70,Worksheet!J312,ROUND((Request!R27/Worksheet!$G$5*Worksheet!$G$9*(IF(Request!$D54=Worksheet!$A$47,Worksheet!J$47,IF(Request!$D54=Worksheet!$A$48,Worksheet!J$48,IF(Request!$D54=Worksheet!$A$49,Worksheet!J$49,IF(Request!$D54=Worksheet!$A$50,Worksheet!J$50,IF(Request!$D54=Worksheet!$A$51,Worksheet!J$51,IF(Request!$D54=Worksheet!$A$52,Worksheet!J$52,IF(Request!$D54=Worksheet!$A$53,Worksheet!J$53,IF(Request!$D54=Worksheet!$A$54,Worksheet!J$54,IF(Request!$D54=Worksheet!$A$55,Worksheet!J$55))))))))))),0)+ROUND(R27/Worksheet!$G$5*Worksheet!$G$10*(IF(Request!$D54=Worksheet!$A$47,Worksheet!K$47,IF(Request!$D54=Worksheet!$A$48,Worksheet!K$48,IF(Request!$D54=Worksheet!$A$49,Worksheet!K$49,IF(Request!$D54=Worksheet!$A$50,Worksheet!K$50,IF(Request!$D54=Worksheet!$A$51,Worksheet!K$51,IF(Request!$D54=Worksheet!$A$52,Worksheet!K$52,IF(Request!$D54=Worksheet!$A$53,Worksheet!K$53,IF(Request!$D54=Worksheet!$A$54,Worksheet!K$54,IF(Request!$D54=Worksheet!$A$55,Worksheet!K$55)))))))))),0))))))))</f>
        <v>0</v>
      </c>
      <c r="S54" s="142">
        <f t="shared" si="7"/>
        <v>0</v>
      </c>
      <c r="T54" s="188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</row>
    <row r="55" spans="1:41" hidden="1" x14ac:dyDescent="0.15">
      <c r="A55" s="91">
        <v>13</v>
      </c>
      <c r="B55" s="276">
        <f t="shared" si="8"/>
        <v>0</v>
      </c>
      <c r="C55" s="277"/>
      <c r="D55" s="154" t="s">
        <v>51</v>
      </c>
      <c r="E55" s="172" t="str">
        <f>IF($D55=Worksheet!$A$59,Worksheet!B$59,IF($D55=Worksheet!$A$60,Worksheet!B$60,IF($D55=Worksheet!$A$61,Worksheet!B$61,IF($D55=Worksheet!$A$62,Worksheet!B$62,IF($D55=Worksheet!$A$63,Worksheet!B$63,IF($D55=Worksheet!$A$64,Worksheet!B$64,IF($D55=Worksheet!$A$65,Worksheet!B$65,IF($D55=Worksheet!$A$66,Worksheet!B$66,IF($D55=Worksheet!$A$67,Worksheet!B$67,IF($D55=Worksheet!$A$68,Worksheet!B287,IF($D55=Worksheet!$A$69,Worksheet!B287,IF($D55=Worksheet!$A$70,Worksheet!B287,IF($D55=Worksheet!$A$71,"")))))))))))))</f>
        <v/>
      </c>
      <c r="F55" s="271" t="str">
        <f>IF($D55=Worksheet!$A$59,Worksheet!C$59,IF($D55=Worksheet!$A$60,Worksheet!C$60,IF($D55=Worksheet!$A$61,Worksheet!C$61,IF($D55=Worksheet!$A$62,Worksheet!C$62,IF($D55=Worksheet!$A$63,Worksheet!C$63,IF($D55=Worksheet!$A$64,Worksheet!C$64,IF($D55=Worksheet!$A$65,Worksheet!C$65,IF($D55=Worksheet!$A$66,Worksheet!C$66,IF($D55=Worksheet!$A$67,Worksheet!C$67,IF($D55=Worksheet!$A$68,Worksheet!D287,IF($D55=Worksheet!$A$69,Worksheet!D287,IF($D55=Worksheet!$A$70,Worksheet!D287,IF($D55=Worksheet!$A$71,"")))))))))))))</f>
        <v/>
      </c>
      <c r="G55" s="272"/>
      <c r="H55" s="244" t="str">
        <f>IF($D55=Worksheet!$A$59,Worksheet!D$59,IF($D55=Worksheet!$A$60,Worksheet!D$60,IF($D55=Worksheet!$A$61,Worksheet!D$61,IF($D55=Worksheet!$A$62,Worksheet!D$62,IF($D55=Worksheet!$A$63,Worksheet!D$63,IF($D55=Worksheet!$A$64,Worksheet!D$64,IF($D55=Worksheet!$A$65,Worksheet!D$65,IF($D55=Worksheet!$A$66,Worksheet!D$66,IF($D55=Worksheet!$A$67,Worksheet!D$67,IF($D55=Worksheet!$A$68,Worksheet!F287,IF($D55=Worksheet!$A$69,Worksheet!F287,IF($D55=Worksheet!$A$70,Worksheet!F287,IF($D55=Worksheet!$A$71,"")))))))))))))</f>
        <v/>
      </c>
      <c r="I55" s="245"/>
      <c r="J55" s="244" t="str">
        <f>IF($D55=Worksheet!$A$59,Worksheet!E$59,IF($D55=Worksheet!$A$60,Worksheet!E$60,IF($D55=Worksheet!$A$61,Worksheet!E$61,IF($D55=Worksheet!$A$62,Worksheet!E$62,IF($D55=Worksheet!$A$63,Worksheet!E$63,IF($D55=Worksheet!$A$64,Worksheet!E$64,IF($D55=Worksheet!$A$65,Worksheet!E$65,IF($D55=Worksheet!$A$66,Worksheet!E$66,IF($D55=Worksheet!$A$67,Worksheet!E$67,IF($D55=Worksheet!$A$68,Worksheet!H287,IF($D55=Worksheet!$A$69,Worksheet!H287,IF($D55=Worksheet!$A$70,Worksheet!H287,IF($D55=Worksheet!$A$71,"")))))))))))))</f>
        <v/>
      </c>
      <c r="K55" s="245"/>
      <c r="L55" s="244" t="str">
        <f>IF($D55=Worksheet!$A$59,Worksheet!F$59,IF($D55=Worksheet!$A$60,Worksheet!F$60,IF($D55=Worksheet!$A$61,Worksheet!F$61,IF($D55=Worksheet!$A$62,Worksheet!F$62,IF($D55=Worksheet!$A$63,Worksheet!F$63,IF($D55=Worksheet!$A$64,Worksheet!F$64,IF($D55=Worksheet!$A$65,Worksheet!F$65,IF($D55=Worksheet!$A$66,Worksheet!F$66,IF($D55=Worksheet!$A$67,Worksheet!F$67,IF($D55=Worksheet!$A$68,Worksheet!J287,IF($D55=Worksheet!$A$69,Worksheet!J287,IF($D55=Worksheet!$A$70,Worksheet!J287,IF($D55=Worksheet!$A$71,"")))))))))))))</f>
        <v/>
      </c>
      <c r="M55" s="245"/>
      <c r="N55" s="178">
        <f>IF(N28=0,0,IF(AND($D55="F-SMRA",N28=0),0,IF(AND($D55="F-SMRB",N28=0),0,IF(AND($D55="F-SMRC",N28=0),0,IF($D55=Worksheet!$A$68,Worksheet!B313,IF($D55=Worksheet!$A$69,Worksheet!B313,IF($D55=Worksheet!$A$70,Worksheet!B313,ROUND((Request!N28/Worksheet!$C$5*Worksheet!$C$9*(IF(Request!$D55=Worksheet!$A$47,Worksheet!B$47,IF(Request!$D55=Worksheet!$A$48,Worksheet!B$48,IF(Request!$D55=Worksheet!$A$49,Worksheet!B$49,IF(Request!$D55=Worksheet!$A$50,Worksheet!B$50,IF(Request!$D55=Worksheet!$A$51,Worksheet!B$51,IF(Request!$D55=Worksheet!$A$52,Worksheet!B$52,IF(Request!$D55=Worksheet!$A$53,Worksheet!B$53,IF(Request!$D55=Worksheet!$A$54,Worksheet!B$54,IF(Request!$D55=Worksheet!$A$55,Worksheet!B$55))))))))))),0)+ROUND(N28/Worksheet!$C$5*Worksheet!$C$10*(IF(Request!$D55=Worksheet!$A$47,Worksheet!C$47,IF(Request!$D55=Worksheet!$A$48,Worksheet!C$48,IF(Request!$D55=Worksheet!$A$49,Worksheet!C$49,IF(Request!$D55=Worksheet!$A$50,Worksheet!C$50,IF(Request!$D55=Worksheet!$A$51,Worksheet!C$51,IF(Request!$D55=Worksheet!$A$52,Worksheet!C$52,IF(Request!$D55=Worksheet!$A$53,Worksheet!C$53,IF(Request!$D55=Worksheet!$A$54,Worksheet!C$54,IF(Request!$D55=Worksheet!$A$55,Worksheet!C$55)))))))))),0))))))))</f>
        <v>0</v>
      </c>
      <c r="O55" s="178">
        <f>IF(O28=0,0,IF(AND($D55="F-SMRA",O28=0),0,IF(AND($D55="F-SMRB",O28=0),0,IF(AND($D55="F-SMRC",O28=0),0,IF($D55=Worksheet!$A$68,Worksheet!D313,IF($D55=Worksheet!$A$69,Worksheet!D313,IF($D55=Worksheet!$A$70,Worksheet!D313,ROUND((Request!O28/Worksheet!$D$5*Worksheet!$D$9*(IF(Request!$D55=Worksheet!$A$47,Worksheet!D$47,IF(Request!$D55=Worksheet!$A$48,Worksheet!D$48,IF(Request!$D55=Worksheet!$A$49,Worksheet!D$49,IF(Request!$D55=Worksheet!$A$50,Worksheet!D$50,IF(Request!$D55=Worksheet!$A$51,Worksheet!D$51,IF(Request!$D55=Worksheet!$A$52,Worksheet!D$52,IF(Request!$D55=Worksheet!$A$53,Worksheet!D$53,IF(Request!$D55=Worksheet!$A$54,Worksheet!D$54,IF(Request!$D55=Worksheet!$A$55,Worksheet!D$55))))))))))),0)+ROUND(O28/Worksheet!$D$5*Worksheet!$D$10*(IF(Request!$D55=Worksheet!$A$47,Worksheet!E$47,IF(Request!$D55=Worksheet!$A$48,Worksheet!E$48,IF(Request!$D55=Worksheet!$A$49,Worksheet!E$49,IF(Request!$D55=Worksheet!$A$50,Worksheet!E$50,IF(Request!$D55=Worksheet!$A$51,Worksheet!E$51,IF(Request!$D55=Worksheet!$A$52,Worksheet!E$52,IF(Request!$D55=Worksheet!$A$53,Worksheet!E$53,IF(Request!$D55=Worksheet!$A$54,Worksheet!E$54,IF(Request!$D55=Worksheet!$A$55,Worksheet!E$55)))))))))),0))))))))</f>
        <v>0</v>
      </c>
      <c r="P55" s="178">
        <f>IF(P28=0,0,IF(AND($D55="F-SMRA",P28=0),0,IF(AND($D55="F-SMRB",P28=0),0,IF(AND($D55="F-SMRC",P28=0),0,IF($D55=Worksheet!$A$68,Worksheet!F313,IF($D55=Worksheet!$A$69,Worksheet!F313,IF($D55=Worksheet!$A$70,Worksheet!F313,ROUND((Request!P28/Worksheet!$E$5*Worksheet!$E$9*(IF(Request!$D55=Worksheet!$A$47,Worksheet!F$47,IF(Request!$D55=Worksheet!$A$48,Worksheet!F$48,IF(Request!$D55=Worksheet!$A$49,Worksheet!F$49,IF(Request!$D55=Worksheet!$A$50,Worksheet!F$50,IF(Request!$D55=Worksheet!$A$51,Worksheet!F$51,IF(Request!$D55=Worksheet!$A$52,Worksheet!F$52,IF(Request!$D55=Worksheet!$A$53,Worksheet!F$53,IF(Request!$D55=Worksheet!$A$54,Worksheet!F$54,IF(Request!$D55=Worksheet!$A$55,Worksheet!F$55))))))))))),0)+ROUND(P28/Worksheet!$E$5*Worksheet!$E$10*(IF(Request!$D55=Worksheet!$A$47,Worksheet!G$47,IF(Request!$D55=Worksheet!$A$48,Worksheet!G$48,IF(Request!$D55=Worksheet!$A$49,Worksheet!G$49,IF(Request!$D55=Worksheet!$A$50,Worksheet!G$50,IF(Request!$D55=Worksheet!$A$51,Worksheet!G$51,IF(Request!$D55=Worksheet!$A$52,Worksheet!G$52,IF(Request!$D55=Worksheet!$A$53,Worksheet!G$53,IF(Request!$D55=Worksheet!$A$54,Worksheet!G$54,IF(Request!$D55=Worksheet!$A$55,Worksheet!G$55)))))))))),0))))))))</f>
        <v>0</v>
      </c>
      <c r="Q55" s="178">
        <f>IF(Q28=0,0,IF(AND($D55="F-SMRA",Q28=0),0,IF(AND($D55="F-SMRB",Q28=0),0,IF(AND($D55="F-SMRC",Q28=0),0,IF($D55=Worksheet!$A$68,Worksheet!H313,IF($D55=Worksheet!$A$69,Worksheet!H313,IF($D55=Worksheet!$A$70,Worksheet!H313,ROUND((Request!Q28/Worksheet!$F$5*Worksheet!$F$9*(IF(Request!$D55=Worksheet!$A$47,Worksheet!H$47,IF(Request!$D55=Worksheet!$A$48,Worksheet!H$48,IF(Request!$D55=Worksheet!$A$49,Worksheet!H$49,IF(Request!$D55=Worksheet!$A$50,Worksheet!H$50,IF(Request!$D55=Worksheet!$A$51,Worksheet!H$51,IF(Request!$D55=Worksheet!$A$52,Worksheet!H$52,IF(Request!$D55=Worksheet!$A$53,Worksheet!H$53,IF(Request!$D55=Worksheet!$A$54,Worksheet!H$54,IF(Request!$D55=Worksheet!$A$55,Worksheet!H$55))))))))))),0)+ROUND(Q28/Worksheet!$F$5*Worksheet!$F$10*(IF(Request!$D55=Worksheet!$A$47,Worksheet!I$47,IF(Request!$D55=Worksheet!$A$48,Worksheet!I$48,IF(Request!$D55=Worksheet!$A$49,Worksheet!I$49,IF(Request!$D55=Worksheet!$A$50,Worksheet!I$50,IF(Request!$D55=Worksheet!$A$51,Worksheet!I$51,IF(Request!$D55=Worksheet!$A$52,Worksheet!I$52,IF(Request!$D55=Worksheet!$A$53,Worksheet!I$53,IF(Request!$D55=Worksheet!$A$54,Worksheet!I$54,IF(Request!$D55=Worksheet!$A$55,Worksheet!I$55)))))))))),0))))))))</f>
        <v>0</v>
      </c>
      <c r="R55" s="178">
        <f>IF(R28=0,0,IF(AND($D55="F-SMRA",R28=0),0,IF(AND($D55="F-SMRB",R28=0),0,IF(AND($D55="F-SMRC",R28=0),0,IF($D55=Worksheet!$A$68,Worksheet!J313,IF($D55=Worksheet!$A$69,Worksheet!J313,IF($D55=Worksheet!$A$70,Worksheet!J313,ROUND((Request!R28/Worksheet!$G$5*Worksheet!$G$9*(IF(Request!$D55=Worksheet!$A$47,Worksheet!J$47,IF(Request!$D55=Worksheet!$A$48,Worksheet!J$48,IF(Request!$D55=Worksheet!$A$49,Worksheet!J$49,IF(Request!$D55=Worksheet!$A$50,Worksheet!J$50,IF(Request!$D55=Worksheet!$A$51,Worksheet!J$51,IF(Request!$D55=Worksheet!$A$52,Worksheet!J$52,IF(Request!$D55=Worksheet!$A$53,Worksheet!J$53,IF(Request!$D55=Worksheet!$A$54,Worksheet!J$54,IF(Request!$D55=Worksheet!$A$55,Worksheet!J$55))))))))))),0)+ROUND(R28/Worksheet!$G$5*Worksheet!$G$10*(IF(Request!$D55=Worksheet!$A$47,Worksheet!K$47,IF(Request!$D55=Worksheet!$A$48,Worksheet!K$48,IF(Request!$D55=Worksheet!$A$49,Worksheet!K$49,IF(Request!$D55=Worksheet!$A$50,Worksheet!K$50,IF(Request!$D55=Worksheet!$A$51,Worksheet!K$51,IF(Request!$D55=Worksheet!$A$52,Worksheet!K$52,IF(Request!$D55=Worksheet!$A$53,Worksheet!K$53,IF(Request!$D55=Worksheet!$A$54,Worksheet!K$54,IF(Request!$D55=Worksheet!$A$55,Worksheet!K$55)))))))))),0))))))))</f>
        <v>0</v>
      </c>
      <c r="S55" s="142">
        <f t="shared" si="7"/>
        <v>0</v>
      </c>
      <c r="T55" s="188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</row>
    <row r="56" spans="1:41" hidden="1" x14ac:dyDescent="0.15">
      <c r="A56" s="91">
        <v>14</v>
      </c>
      <c r="B56" s="276">
        <f t="shared" si="8"/>
        <v>0</v>
      </c>
      <c r="C56" s="277"/>
      <c r="D56" s="154" t="s">
        <v>51</v>
      </c>
      <c r="E56" s="172" t="str">
        <f>IF($D56=Worksheet!$A$59,Worksheet!B$59,IF($D56=Worksheet!$A$60,Worksheet!B$60,IF($D56=Worksheet!$A$61,Worksheet!B$61,IF($D56=Worksheet!$A$62,Worksheet!B$62,IF($D56=Worksheet!$A$63,Worksheet!B$63,IF($D56=Worksheet!$A$64,Worksheet!B$64,IF($D56=Worksheet!$A$65,Worksheet!B$65,IF($D56=Worksheet!$A$66,Worksheet!B$66,IF($D56=Worksheet!$A$67,Worksheet!B$67,IF($D56=Worksheet!$A$68,Worksheet!B288,IF($D56=Worksheet!$A$69,Worksheet!B288,IF($D56=Worksheet!$A$70,Worksheet!B288,IF($D56=Worksheet!$A$71,"")))))))))))))</f>
        <v/>
      </c>
      <c r="F56" s="271" t="str">
        <f>IF($D56=Worksheet!$A$59,Worksheet!C$59,IF($D56=Worksheet!$A$60,Worksheet!C$60,IF($D56=Worksheet!$A$61,Worksheet!C$61,IF($D56=Worksheet!$A$62,Worksheet!C$62,IF($D56=Worksheet!$A$63,Worksheet!C$63,IF($D56=Worksheet!$A$64,Worksheet!C$64,IF($D56=Worksheet!$A$65,Worksheet!C$65,IF($D56=Worksheet!$A$66,Worksheet!C$66,IF($D56=Worksheet!$A$67,Worksheet!C$67,IF($D56=Worksheet!$A$68,Worksheet!D288,IF($D56=Worksheet!$A$69,Worksheet!D288,IF($D56=Worksheet!$A$70,Worksheet!D288,IF($D56=Worksheet!$A$71,"")))))))))))))</f>
        <v/>
      </c>
      <c r="G56" s="272"/>
      <c r="H56" s="244" t="str">
        <f>IF($D56=Worksheet!$A$59,Worksheet!D$59,IF($D56=Worksheet!$A$60,Worksheet!D$60,IF($D56=Worksheet!$A$61,Worksheet!D$61,IF($D56=Worksheet!$A$62,Worksheet!D$62,IF($D56=Worksheet!$A$63,Worksheet!D$63,IF($D56=Worksheet!$A$64,Worksheet!D$64,IF($D56=Worksheet!$A$65,Worksheet!D$65,IF($D56=Worksheet!$A$66,Worksheet!D$66,IF($D56=Worksheet!$A$67,Worksheet!D$67,IF($D56=Worksheet!$A$68,Worksheet!F288,IF($D56=Worksheet!$A$69,Worksheet!F288,IF($D56=Worksheet!$A$70,Worksheet!F288,IF($D56=Worksheet!$A$71,"")))))))))))))</f>
        <v/>
      </c>
      <c r="I56" s="245"/>
      <c r="J56" s="244" t="str">
        <f>IF($D56=Worksheet!$A$59,Worksheet!E$59,IF($D56=Worksheet!$A$60,Worksheet!E$60,IF($D56=Worksheet!$A$61,Worksheet!E$61,IF($D56=Worksheet!$A$62,Worksheet!E$62,IF($D56=Worksheet!$A$63,Worksheet!E$63,IF($D56=Worksheet!$A$64,Worksheet!E$64,IF($D56=Worksheet!$A$65,Worksheet!E$65,IF($D56=Worksheet!$A$66,Worksheet!E$66,IF($D56=Worksheet!$A$67,Worksheet!E$67,IF($D56=Worksheet!$A$68,Worksheet!H288,IF($D56=Worksheet!$A$69,Worksheet!H288,IF($D56=Worksheet!$A$70,Worksheet!H288,IF($D56=Worksheet!$A$71,"")))))))))))))</f>
        <v/>
      </c>
      <c r="K56" s="245"/>
      <c r="L56" s="244" t="str">
        <f>IF($D56=Worksheet!$A$59,Worksheet!F$59,IF($D56=Worksheet!$A$60,Worksheet!F$60,IF($D56=Worksheet!$A$61,Worksheet!F$61,IF($D56=Worksheet!$A$62,Worksheet!F$62,IF($D56=Worksheet!$A$63,Worksheet!F$63,IF($D56=Worksheet!$A$64,Worksheet!F$64,IF($D56=Worksheet!$A$65,Worksheet!F$65,IF($D56=Worksheet!$A$66,Worksheet!F$66,IF($D56=Worksheet!$A$67,Worksheet!F$67,IF($D56=Worksheet!$A$68,Worksheet!J288,IF($D56=Worksheet!$A$69,Worksheet!J288,IF($D56=Worksheet!$A$70,Worksheet!J288,IF($D56=Worksheet!$A$71,"")))))))))))))</f>
        <v/>
      </c>
      <c r="M56" s="245"/>
      <c r="N56" s="178">
        <f>IF(N29=0,0,IF(AND($D56="F-SMRA",N29=0),0,IF(AND($D56="F-SMRB",N29=0),0,IF(AND($D56="F-SMRC",N29=0),0,IF($D56=Worksheet!$A$68,Worksheet!B314,IF($D56=Worksheet!$A$69,Worksheet!B314,IF($D56=Worksheet!$A$70,Worksheet!B314,ROUND((Request!N29/Worksheet!$C$5*Worksheet!$C$9*(IF(Request!$D56=Worksheet!$A$47,Worksheet!B$47,IF(Request!$D56=Worksheet!$A$48,Worksheet!B$48,IF(Request!$D56=Worksheet!$A$49,Worksheet!B$49,IF(Request!$D56=Worksheet!$A$50,Worksheet!B$50,IF(Request!$D56=Worksheet!$A$51,Worksheet!B$51,IF(Request!$D56=Worksheet!$A$52,Worksheet!B$52,IF(Request!$D56=Worksheet!$A$53,Worksheet!B$53,IF(Request!$D56=Worksheet!$A$54,Worksheet!B$54,IF(Request!$D56=Worksheet!$A$55,Worksheet!B$55))))))))))),0)+ROUND(N29/Worksheet!$C$5*Worksheet!$C$10*(IF(Request!$D56=Worksheet!$A$47,Worksheet!C$47,IF(Request!$D56=Worksheet!$A$48,Worksheet!C$48,IF(Request!$D56=Worksheet!$A$49,Worksheet!C$49,IF(Request!$D56=Worksheet!$A$50,Worksheet!C$50,IF(Request!$D56=Worksheet!$A$51,Worksheet!C$51,IF(Request!$D56=Worksheet!$A$52,Worksheet!C$52,IF(Request!$D56=Worksheet!$A$53,Worksheet!C$53,IF(Request!$D56=Worksheet!$A$54,Worksheet!C$54,IF(Request!$D56=Worksheet!$A$55,Worksheet!C$55)))))))))),0))))))))</f>
        <v>0</v>
      </c>
      <c r="O56" s="178">
        <f>IF(O29=0,0,IF(AND($D56="F-SMRA",O29=0),0,IF(AND($D56="F-SMRB",O29=0),0,IF(AND($D56="F-SMRC",O29=0),0,IF($D56=Worksheet!$A$68,Worksheet!D314,IF($D56=Worksheet!$A$69,Worksheet!D314,IF($D56=Worksheet!$A$70,Worksheet!D314,ROUND((Request!O29/Worksheet!$D$5*Worksheet!$D$9*(IF(Request!$D56=Worksheet!$A$47,Worksheet!D$47,IF(Request!$D56=Worksheet!$A$48,Worksheet!D$48,IF(Request!$D56=Worksheet!$A$49,Worksheet!D$49,IF(Request!$D56=Worksheet!$A$50,Worksheet!D$50,IF(Request!$D56=Worksheet!$A$51,Worksheet!D$51,IF(Request!$D56=Worksheet!$A$52,Worksheet!D$52,IF(Request!$D56=Worksheet!$A$53,Worksheet!D$53,IF(Request!$D56=Worksheet!$A$54,Worksheet!D$54,IF(Request!$D56=Worksheet!$A$55,Worksheet!D$55))))))))))),0)+ROUND(O29/Worksheet!$D$5*Worksheet!$D$10*(IF(Request!$D56=Worksheet!$A$47,Worksheet!E$47,IF(Request!$D56=Worksheet!$A$48,Worksheet!E$48,IF(Request!$D56=Worksheet!$A$49,Worksheet!E$49,IF(Request!$D56=Worksheet!$A$50,Worksheet!E$50,IF(Request!$D56=Worksheet!$A$51,Worksheet!E$51,IF(Request!$D56=Worksheet!$A$52,Worksheet!E$52,IF(Request!$D56=Worksheet!$A$53,Worksheet!E$53,IF(Request!$D56=Worksheet!$A$54,Worksheet!E$54,IF(Request!$D56=Worksheet!$A$55,Worksheet!E$55)))))))))),0))))))))</f>
        <v>0</v>
      </c>
      <c r="P56" s="178">
        <f>IF(P29=0,0,IF(AND($D56="F-SMRA",P29=0),0,IF(AND($D56="F-SMRB",P29=0),0,IF(AND($D56="F-SMRC",P29=0),0,IF($D56=Worksheet!$A$68,Worksheet!F314,IF($D56=Worksheet!$A$69,Worksheet!F314,IF($D56=Worksheet!$A$70,Worksheet!F314,ROUND((Request!P29/Worksheet!$E$5*Worksheet!$E$9*(IF(Request!$D56=Worksheet!$A$47,Worksheet!F$47,IF(Request!$D56=Worksheet!$A$48,Worksheet!F$48,IF(Request!$D56=Worksheet!$A$49,Worksheet!F$49,IF(Request!$D56=Worksheet!$A$50,Worksheet!F$50,IF(Request!$D56=Worksheet!$A$51,Worksheet!F$51,IF(Request!$D56=Worksheet!$A$52,Worksheet!F$52,IF(Request!$D56=Worksheet!$A$53,Worksheet!F$53,IF(Request!$D56=Worksheet!$A$54,Worksheet!F$54,IF(Request!$D56=Worksheet!$A$55,Worksheet!F$55))))))))))),0)+ROUND(P29/Worksheet!$E$5*Worksheet!$E$10*(IF(Request!$D56=Worksheet!$A$47,Worksheet!G$47,IF(Request!$D56=Worksheet!$A$48,Worksheet!G$48,IF(Request!$D56=Worksheet!$A$49,Worksheet!G$49,IF(Request!$D56=Worksheet!$A$50,Worksheet!G$50,IF(Request!$D56=Worksheet!$A$51,Worksheet!G$51,IF(Request!$D56=Worksheet!$A$52,Worksheet!G$52,IF(Request!$D56=Worksheet!$A$53,Worksheet!G$53,IF(Request!$D56=Worksheet!$A$54,Worksheet!G$54,IF(Request!$D56=Worksheet!$A$55,Worksheet!G$55)))))))))),0))))))))</f>
        <v>0</v>
      </c>
      <c r="Q56" s="178">
        <f>IF(Q29=0,0,IF(AND($D56="F-SMRA",Q29=0),0,IF(AND($D56="F-SMRB",Q29=0),0,IF(AND($D56="F-SMRC",Q29=0),0,IF($D56=Worksheet!$A$68,Worksheet!H314,IF($D56=Worksheet!$A$69,Worksheet!H314,IF($D56=Worksheet!$A$70,Worksheet!H314,ROUND((Request!Q29/Worksheet!$F$5*Worksheet!$F$9*(IF(Request!$D56=Worksheet!$A$47,Worksheet!H$47,IF(Request!$D56=Worksheet!$A$48,Worksheet!H$48,IF(Request!$D56=Worksheet!$A$49,Worksheet!H$49,IF(Request!$D56=Worksheet!$A$50,Worksheet!H$50,IF(Request!$D56=Worksheet!$A$51,Worksheet!H$51,IF(Request!$D56=Worksheet!$A$52,Worksheet!H$52,IF(Request!$D56=Worksheet!$A$53,Worksheet!H$53,IF(Request!$D56=Worksheet!$A$54,Worksheet!H$54,IF(Request!$D56=Worksheet!$A$55,Worksheet!H$55))))))))))),0)+ROUND(Q29/Worksheet!$F$5*Worksheet!$F$10*(IF(Request!$D56=Worksheet!$A$47,Worksheet!I$47,IF(Request!$D56=Worksheet!$A$48,Worksheet!I$48,IF(Request!$D56=Worksheet!$A$49,Worksheet!I$49,IF(Request!$D56=Worksheet!$A$50,Worksheet!I$50,IF(Request!$D56=Worksheet!$A$51,Worksheet!I$51,IF(Request!$D56=Worksheet!$A$52,Worksheet!I$52,IF(Request!$D56=Worksheet!$A$53,Worksheet!I$53,IF(Request!$D56=Worksheet!$A$54,Worksheet!I$54,IF(Request!$D56=Worksheet!$A$55,Worksheet!I$55)))))))))),0))))))))</f>
        <v>0</v>
      </c>
      <c r="R56" s="178">
        <f>IF(R29=0,0,IF(AND($D56="F-SMRA",R29=0),0,IF(AND($D56="F-SMRB",R29=0),0,IF(AND($D56="F-SMRC",R29=0),0,IF($D56=Worksheet!$A$68,Worksheet!J314,IF($D56=Worksheet!$A$69,Worksheet!J314,IF($D56=Worksheet!$A$70,Worksheet!J314,ROUND((Request!R29/Worksheet!$G$5*Worksheet!$G$9*(IF(Request!$D56=Worksheet!$A$47,Worksheet!J$47,IF(Request!$D56=Worksheet!$A$48,Worksheet!J$48,IF(Request!$D56=Worksheet!$A$49,Worksheet!J$49,IF(Request!$D56=Worksheet!$A$50,Worksheet!J$50,IF(Request!$D56=Worksheet!$A$51,Worksheet!J$51,IF(Request!$D56=Worksheet!$A$52,Worksheet!J$52,IF(Request!$D56=Worksheet!$A$53,Worksheet!J$53,IF(Request!$D56=Worksheet!$A$54,Worksheet!J$54,IF(Request!$D56=Worksheet!$A$55,Worksheet!J$55))))))))))),0)+ROUND(R29/Worksheet!$G$5*Worksheet!$G$10*(IF(Request!$D56=Worksheet!$A$47,Worksheet!K$47,IF(Request!$D56=Worksheet!$A$48,Worksheet!K$48,IF(Request!$D56=Worksheet!$A$49,Worksheet!K$49,IF(Request!$D56=Worksheet!$A$50,Worksheet!K$50,IF(Request!$D56=Worksheet!$A$51,Worksheet!K$51,IF(Request!$D56=Worksheet!$A$52,Worksheet!K$52,IF(Request!$D56=Worksheet!$A$53,Worksheet!K$53,IF(Request!$D56=Worksheet!$A$54,Worksheet!K$54,IF(Request!$D56=Worksheet!$A$55,Worksheet!K$55)))))))))),0))))))))</f>
        <v>0</v>
      </c>
      <c r="S56" s="142">
        <f t="shared" si="7"/>
        <v>0</v>
      </c>
      <c r="T56" s="188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</row>
    <row r="57" spans="1:41" hidden="1" x14ac:dyDescent="0.15">
      <c r="A57" s="91">
        <v>15</v>
      </c>
      <c r="B57" s="276">
        <f t="shared" si="8"/>
        <v>0</v>
      </c>
      <c r="C57" s="277"/>
      <c r="D57" s="154" t="s">
        <v>51</v>
      </c>
      <c r="E57" s="172" t="str">
        <f>IF($D57=Worksheet!$A$59,Worksheet!B$59,IF($D57=Worksheet!$A$60,Worksheet!B$60,IF($D57=Worksheet!$A$61,Worksheet!B$61,IF($D57=Worksheet!$A$62,Worksheet!B$62,IF($D57=Worksheet!$A$63,Worksheet!B$63,IF($D57=Worksheet!$A$64,Worksheet!B$64,IF($D57=Worksheet!$A$65,Worksheet!B$65,IF($D57=Worksheet!$A$66,Worksheet!B$66,IF($D57=Worksheet!$A$67,Worksheet!B$67,IF($D57=Worksheet!$A$68,Worksheet!B289,IF($D57=Worksheet!$A$69,Worksheet!B289,IF($D57=Worksheet!$A$70,Worksheet!B289,IF($D57=Worksheet!$A$71,"")))))))))))))</f>
        <v/>
      </c>
      <c r="F57" s="271" t="str">
        <f>IF($D57=Worksheet!$A$59,Worksheet!C$59,IF($D57=Worksheet!$A$60,Worksheet!C$60,IF($D57=Worksheet!$A$61,Worksheet!C$61,IF($D57=Worksheet!$A$62,Worksheet!C$62,IF($D57=Worksheet!$A$63,Worksheet!C$63,IF($D57=Worksheet!$A$64,Worksheet!C$64,IF($D57=Worksheet!$A$65,Worksheet!C$65,IF($D57=Worksheet!$A$66,Worksheet!C$66,IF($D57=Worksheet!$A$67,Worksheet!C$67,IF($D57=Worksheet!$A$68,Worksheet!D289,IF($D57=Worksheet!$A$69,Worksheet!D289,IF($D57=Worksheet!$A$70,Worksheet!D289,IF($D57=Worksheet!$A$71,"")))))))))))))</f>
        <v/>
      </c>
      <c r="G57" s="272"/>
      <c r="H57" s="244" t="str">
        <f>IF($D57=Worksheet!$A$59,Worksheet!D$59,IF($D57=Worksheet!$A$60,Worksheet!D$60,IF($D57=Worksheet!$A$61,Worksheet!D$61,IF($D57=Worksheet!$A$62,Worksheet!D$62,IF($D57=Worksheet!$A$63,Worksheet!D$63,IF($D57=Worksheet!$A$64,Worksheet!D$64,IF($D57=Worksheet!$A$65,Worksheet!D$65,IF($D57=Worksheet!$A$66,Worksheet!D$66,IF($D57=Worksheet!$A$67,Worksheet!D$67,IF($D57=Worksheet!$A$68,Worksheet!F289,IF($D57=Worksheet!$A$69,Worksheet!F289,IF($D57=Worksheet!$A$70,Worksheet!F289,IF($D57=Worksheet!$A$71,"")))))))))))))</f>
        <v/>
      </c>
      <c r="I57" s="245"/>
      <c r="J57" s="244" t="str">
        <f>IF($D57=Worksheet!$A$59,Worksheet!E$59,IF($D57=Worksheet!$A$60,Worksheet!E$60,IF($D57=Worksheet!$A$61,Worksheet!E$61,IF($D57=Worksheet!$A$62,Worksheet!E$62,IF($D57=Worksheet!$A$63,Worksheet!E$63,IF($D57=Worksheet!$A$64,Worksheet!E$64,IF($D57=Worksheet!$A$65,Worksheet!E$65,IF($D57=Worksheet!$A$66,Worksheet!E$66,IF($D57=Worksheet!$A$67,Worksheet!E$67,IF($D57=Worksheet!$A$68,Worksheet!H289,IF($D57=Worksheet!$A$69,Worksheet!H289,IF($D57=Worksheet!$A$70,Worksheet!H289,IF($D57=Worksheet!$A$71,"")))))))))))))</f>
        <v/>
      </c>
      <c r="K57" s="245"/>
      <c r="L57" s="244" t="str">
        <f>IF($D57=Worksheet!$A$59,Worksheet!F$59,IF($D57=Worksheet!$A$60,Worksheet!F$60,IF($D57=Worksheet!$A$61,Worksheet!F$61,IF($D57=Worksheet!$A$62,Worksheet!F$62,IF($D57=Worksheet!$A$63,Worksheet!F$63,IF($D57=Worksheet!$A$64,Worksheet!F$64,IF($D57=Worksheet!$A$65,Worksheet!F$65,IF($D57=Worksheet!$A$66,Worksheet!F$66,IF($D57=Worksheet!$A$67,Worksheet!F$67,IF($D57=Worksheet!$A$68,Worksheet!J289,IF($D57=Worksheet!$A$69,Worksheet!J289,IF($D57=Worksheet!$A$70,Worksheet!J289,IF($D57=Worksheet!$A$71,"")))))))))))))</f>
        <v/>
      </c>
      <c r="M57" s="245"/>
      <c r="N57" s="178">
        <f>IF(N30=0,0,IF(AND($D57="F-SMRA",N30=0),0,IF(AND($D57="F-SMRB",N30=0),0,IF(AND($D57="F-SMRC",N30=0),0,IF($D57=Worksheet!$A$68,Worksheet!B315,IF($D57=Worksheet!$A$69,Worksheet!B315,IF($D57=Worksheet!$A$70,Worksheet!B315,ROUND((Request!N30/Worksheet!$C$5*Worksheet!$C$9*(IF(Request!$D57=Worksheet!$A$47,Worksheet!B$47,IF(Request!$D57=Worksheet!$A$48,Worksheet!B$48,IF(Request!$D57=Worksheet!$A$49,Worksheet!B$49,IF(Request!$D57=Worksheet!$A$50,Worksheet!B$50,IF(Request!$D57=Worksheet!$A$51,Worksheet!B$51,IF(Request!$D57=Worksheet!$A$52,Worksheet!B$52,IF(Request!$D57=Worksheet!$A$53,Worksheet!B$53,IF(Request!$D57=Worksheet!$A$54,Worksheet!B$54,IF(Request!$D57=Worksheet!$A$55,Worksheet!B$55))))))))))),0)+ROUND(N30/Worksheet!$C$5*Worksheet!$C$10*(IF(Request!$D57=Worksheet!$A$47,Worksheet!C$47,IF(Request!$D57=Worksheet!$A$48,Worksheet!C$48,IF(Request!$D57=Worksheet!$A$49,Worksheet!C$49,IF(Request!$D57=Worksheet!$A$50,Worksheet!C$50,IF(Request!$D57=Worksheet!$A$51,Worksheet!C$51,IF(Request!$D57=Worksheet!$A$52,Worksheet!C$52,IF(Request!$D57=Worksheet!$A$53,Worksheet!C$53,IF(Request!$D57=Worksheet!$A$54,Worksheet!C$54,IF(Request!$D57=Worksheet!$A$55,Worksheet!C$55)))))))))),0))))))))</f>
        <v>0</v>
      </c>
      <c r="O57" s="178">
        <f>IF(O30=0,0,IF(AND($D57="F-SMRA",O30=0),0,IF(AND($D57="F-SMRB",O30=0),0,IF(AND($D57="F-SMRC",O30=0),0,IF($D57=Worksheet!$A$68,Worksheet!D315,IF($D57=Worksheet!$A$69,Worksheet!D315,IF($D57=Worksheet!$A$70,Worksheet!D315,ROUND((Request!O30/Worksheet!$D$5*Worksheet!$D$9*(IF(Request!$D57=Worksheet!$A$47,Worksheet!D$47,IF(Request!$D57=Worksheet!$A$48,Worksheet!D$48,IF(Request!$D57=Worksheet!$A$49,Worksheet!D$49,IF(Request!$D57=Worksheet!$A$50,Worksheet!D$50,IF(Request!$D57=Worksheet!$A$51,Worksheet!D$51,IF(Request!$D57=Worksheet!$A$52,Worksheet!D$52,IF(Request!$D57=Worksheet!$A$53,Worksheet!D$53,IF(Request!$D57=Worksheet!$A$54,Worksheet!D$54,IF(Request!$D57=Worksheet!$A$55,Worksheet!D$55))))))))))),0)+ROUND(O30/Worksheet!$D$5*Worksheet!$D$10*(IF(Request!$D57=Worksheet!$A$47,Worksheet!E$47,IF(Request!$D57=Worksheet!$A$48,Worksheet!E$48,IF(Request!$D57=Worksheet!$A$49,Worksheet!E$49,IF(Request!$D57=Worksheet!$A$50,Worksheet!E$50,IF(Request!$D57=Worksheet!$A$51,Worksheet!E$51,IF(Request!$D57=Worksheet!$A$52,Worksheet!E$52,IF(Request!$D57=Worksheet!$A$53,Worksheet!E$53,IF(Request!$D57=Worksheet!$A$54,Worksheet!E$54,IF(Request!$D57=Worksheet!$A$55,Worksheet!E$55)))))))))),0))))))))</f>
        <v>0</v>
      </c>
      <c r="P57" s="178">
        <f>IF(P30=0,0,IF(AND($D57="F-SMRA",P30=0),0,IF(AND($D57="F-SMRB",P30=0),0,IF(AND($D57="F-SMRC",P30=0),0,IF($D57=Worksheet!$A$68,Worksheet!F315,IF($D57=Worksheet!$A$69,Worksheet!F315,IF($D57=Worksheet!$A$70,Worksheet!F315,ROUND((Request!P30/Worksheet!$E$5*Worksheet!$E$9*(IF(Request!$D57=Worksheet!$A$47,Worksheet!F$47,IF(Request!$D57=Worksheet!$A$48,Worksheet!F$48,IF(Request!$D57=Worksheet!$A$49,Worksheet!F$49,IF(Request!$D57=Worksheet!$A$50,Worksheet!F$50,IF(Request!$D57=Worksheet!$A$51,Worksheet!F$51,IF(Request!$D57=Worksheet!$A$52,Worksheet!F$52,IF(Request!$D57=Worksheet!$A$53,Worksheet!F$53,IF(Request!$D57=Worksheet!$A$54,Worksheet!F$54,IF(Request!$D57=Worksheet!$A$55,Worksheet!F$55))))))))))),0)+ROUND(P30/Worksheet!$E$5*Worksheet!$E$10*(IF(Request!$D57=Worksheet!$A$47,Worksheet!G$47,IF(Request!$D57=Worksheet!$A$48,Worksheet!G$48,IF(Request!$D57=Worksheet!$A$49,Worksheet!G$49,IF(Request!$D57=Worksheet!$A$50,Worksheet!G$50,IF(Request!$D57=Worksheet!$A$51,Worksheet!G$51,IF(Request!$D57=Worksheet!$A$52,Worksheet!G$52,IF(Request!$D57=Worksheet!$A$53,Worksheet!G$53,IF(Request!$D57=Worksheet!$A$54,Worksheet!G$54,IF(Request!$D57=Worksheet!$A$55,Worksheet!G$55)))))))))),0))))))))</f>
        <v>0</v>
      </c>
      <c r="Q57" s="178">
        <f>IF(Q30=0,0,IF(AND($D57="F-SMRA",Q30=0),0,IF(AND($D57="F-SMRB",Q30=0),0,IF(AND($D57="F-SMRC",Q30=0),0,IF($D57=Worksheet!$A$68,Worksheet!H315,IF($D57=Worksheet!$A$69,Worksheet!H315,IF($D57=Worksheet!$A$70,Worksheet!H315,ROUND((Request!Q30/Worksheet!$F$5*Worksheet!$F$9*(IF(Request!$D57=Worksheet!$A$47,Worksheet!H$47,IF(Request!$D57=Worksheet!$A$48,Worksheet!H$48,IF(Request!$D57=Worksheet!$A$49,Worksheet!H$49,IF(Request!$D57=Worksheet!$A$50,Worksheet!H$50,IF(Request!$D57=Worksheet!$A$51,Worksheet!H$51,IF(Request!$D57=Worksheet!$A$52,Worksheet!H$52,IF(Request!$D57=Worksheet!$A$53,Worksheet!H$53,IF(Request!$D57=Worksheet!$A$54,Worksheet!H$54,IF(Request!$D57=Worksheet!$A$55,Worksheet!H$55))))))))))),0)+ROUND(Q30/Worksheet!$F$5*Worksheet!$F$10*(IF(Request!$D57=Worksheet!$A$47,Worksheet!I$47,IF(Request!$D57=Worksheet!$A$48,Worksheet!I$48,IF(Request!$D57=Worksheet!$A$49,Worksheet!I$49,IF(Request!$D57=Worksheet!$A$50,Worksheet!I$50,IF(Request!$D57=Worksheet!$A$51,Worksheet!I$51,IF(Request!$D57=Worksheet!$A$52,Worksheet!I$52,IF(Request!$D57=Worksheet!$A$53,Worksheet!I$53,IF(Request!$D57=Worksheet!$A$54,Worksheet!I$54,IF(Request!$D57=Worksheet!$A$55,Worksheet!I$55)))))))))),0))))))))</f>
        <v>0</v>
      </c>
      <c r="R57" s="178">
        <f>IF(R30=0,0,IF(AND($D57="F-SMRA",R30=0),0,IF(AND($D57="F-SMRB",R30=0),0,IF(AND($D57="F-SMRC",R30=0),0,IF($D57=Worksheet!$A$68,Worksheet!J315,IF($D57=Worksheet!$A$69,Worksheet!J315,IF($D57=Worksheet!$A$70,Worksheet!J315,ROUND((Request!R30/Worksheet!$G$5*Worksheet!$G$9*(IF(Request!$D57=Worksheet!$A$47,Worksheet!J$47,IF(Request!$D57=Worksheet!$A$48,Worksheet!J$48,IF(Request!$D57=Worksheet!$A$49,Worksheet!J$49,IF(Request!$D57=Worksheet!$A$50,Worksheet!J$50,IF(Request!$D57=Worksheet!$A$51,Worksheet!J$51,IF(Request!$D57=Worksheet!$A$52,Worksheet!J$52,IF(Request!$D57=Worksheet!$A$53,Worksheet!J$53,IF(Request!$D57=Worksheet!$A$54,Worksheet!J$54,IF(Request!$D57=Worksheet!$A$55,Worksheet!J$55))))))))))),0)+ROUND(R30/Worksheet!$G$5*Worksheet!$G$10*(IF(Request!$D57=Worksheet!$A$47,Worksheet!K$47,IF(Request!$D57=Worksheet!$A$48,Worksheet!K$48,IF(Request!$D57=Worksheet!$A$49,Worksheet!K$49,IF(Request!$D57=Worksheet!$A$50,Worksheet!K$50,IF(Request!$D57=Worksheet!$A$51,Worksheet!K$51,IF(Request!$D57=Worksheet!$A$52,Worksheet!K$52,IF(Request!$D57=Worksheet!$A$53,Worksheet!K$53,IF(Request!$D57=Worksheet!$A$54,Worksheet!K$54,IF(Request!$D57=Worksheet!$A$55,Worksheet!K$55)))))))))),0))))))))</f>
        <v>0</v>
      </c>
      <c r="S57" s="142">
        <f t="shared" si="7"/>
        <v>0</v>
      </c>
      <c r="T57" s="188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</row>
    <row r="58" spans="1:41" hidden="1" x14ac:dyDescent="0.15">
      <c r="A58" s="91">
        <v>16</v>
      </c>
      <c r="B58" s="276">
        <f t="shared" si="8"/>
        <v>0</v>
      </c>
      <c r="C58" s="277"/>
      <c r="D58" s="154" t="s">
        <v>51</v>
      </c>
      <c r="E58" s="172" t="str">
        <f>IF($D58=Worksheet!$A$59,Worksheet!B$59,IF($D58=Worksheet!$A$60,Worksheet!B$60,IF($D58=Worksheet!$A$61,Worksheet!B$61,IF($D58=Worksheet!$A$62,Worksheet!B$62,IF($D58=Worksheet!$A$63,Worksheet!B$63,IF($D58=Worksheet!$A$64,Worksheet!B$64,IF($D58=Worksheet!$A$65,Worksheet!B$65,IF($D58=Worksheet!$A$66,Worksheet!B$66,IF($D58=Worksheet!$A$67,Worksheet!B$67,IF($D58=Worksheet!$A$68,Worksheet!B290,IF($D58=Worksheet!$A$69,Worksheet!B290,IF($D58=Worksheet!$A$70,Worksheet!B290,IF($D58=Worksheet!$A$71,"")))))))))))))</f>
        <v/>
      </c>
      <c r="F58" s="271" t="str">
        <f>IF($D58=Worksheet!$A$59,Worksheet!C$59,IF($D58=Worksheet!$A$60,Worksheet!C$60,IF($D58=Worksheet!$A$61,Worksheet!C$61,IF($D58=Worksheet!$A$62,Worksheet!C$62,IF($D58=Worksheet!$A$63,Worksheet!C$63,IF($D58=Worksheet!$A$64,Worksheet!C$64,IF($D58=Worksheet!$A$65,Worksheet!C$65,IF($D58=Worksheet!$A$66,Worksheet!C$66,IF($D58=Worksheet!$A$67,Worksheet!C$67,IF($D58=Worksheet!$A$68,Worksheet!D290,IF($D58=Worksheet!$A$69,Worksheet!D290,IF($D58=Worksheet!$A$70,Worksheet!D290,IF($D58=Worksheet!$A$71,"")))))))))))))</f>
        <v/>
      </c>
      <c r="G58" s="272"/>
      <c r="H58" s="244" t="str">
        <f>IF($D58=Worksheet!$A$59,Worksheet!D$59,IF($D58=Worksheet!$A$60,Worksheet!D$60,IF($D58=Worksheet!$A$61,Worksheet!D$61,IF($D58=Worksheet!$A$62,Worksheet!D$62,IF($D58=Worksheet!$A$63,Worksheet!D$63,IF($D58=Worksheet!$A$64,Worksheet!D$64,IF($D58=Worksheet!$A$65,Worksheet!D$65,IF($D58=Worksheet!$A$66,Worksheet!D$66,IF($D58=Worksheet!$A$67,Worksheet!D$67,IF($D58=Worksheet!$A$68,Worksheet!F290,IF($D58=Worksheet!$A$69,Worksheet!F290,IF($D58=Worksheet!$A$70,Worksheet!F290,IF($D58=Worksheet!$A$71,"")))))))))))))</f>
        <v/>
      </c>
      <c r="I58" s="245"/>
      <c r="J58" s="244" t="str">
        <f>IF($D58=Worksheet!$A$59,Worksheet!E$59,IF($D58=Worksheet!$A$60,Worksheet!E$60,IF($D58=Worksheet!$A$61,Worksheet!E$61,IF($D58=Worksheet!$A$62,Worksheet!E$62,IF($D58=Worksheet!$A$63,Worksheet!E$63,IF($D58=Worksheet!$A$64,Worksheet!E$64,IF($D58=Worksheet!$A$65,Worksheet!E$65,IF($D58=Worksheet!$A$66,Worksheet!E$66,IF($D58=Worksheet!$A$67,Worksheet!E$67,IF($D58=Worksheet!$A$68,Worksheet!H290,IF($D58=Worksheet!$A$69,Worksheet!H290,IF($D58=Worksheet!$A$70,Worksheet!H290,IF($D58=Worksheet!$A$71,"")))))))))))))</f>
        <v/>
      </c>
      <c r="K58" s="245"/>
      <c r="L58" s="244" t="str">
        <f>IF($D58=Worksheet!$A$59,Worksheet!F$59,IF($D58=Worksheet!$A$60,Worksheet!F$60,IF($D58=Worksheet!$A$61,Worksheet!F$61,IF($D58=Worksheet!$A$62,Worksheet!F$62,IF($D58=Worksheet!$A$63,Worksheet!F$63,IF($D58=Worksheet!$A$64,Worksheet!F$64,IF($D58=Worksheet!$A$65,Worksheet!F$65,IF($D58=Worksheet!$A$66,Worksheet!F$66,IF($D58=Worksheet!$A$67,Worksheet!F$67,IF($D58=Worksheet!$A$68,Worksheet!J290,IF($D58=Worksheet!$A$69,Worksheet!J290,IF($D58=Worksheet!$A$70,Worksheet!J290,IF($D58=Worksheet!$A$71,"")))))))))))))</f>
        <v/>
      </c>
      <c r="M58" s="245"/>
      <c r="N58" s="178">
        <f>IF(N31=0,0,IF(AND($D58="F-SMRA",N31=0),0,IF(AND($D58="F-SMRB",N31=0),0,IF(AND($D58="F-SMRC",N31=0),0,IF($D58=Worksheet!$A$68,Worksheet!B316,IF($D58=Worksheet!$A$69,Worksheet!B316,IF($D58=Worksheet!$A$70,Worksheet!B316,ROUND((Request!N31/Worksheet!$C$5*Worksheet!$C$9*(IF(Request!$D58=Worksheet!$A$47,Worksheet!B$47,IF(Request!$D58=Worksheet!$A$48,Worksheet!B$48,IF(Request!$D58=Worksheet!$A$49,Worksheet!B$49,IF(Request!$D58=Worksheet!$A$50,Worksheet!B$50,IF(Request!$D58=Worksheet!$A$51,Worksheet!B$51,IF(Request!$D58=Worksheet!$A$52,Worksheet!B$52,IF(Request!$D58=Worksheet!$A$53,Worksheet!B$53,IF(Request!$D58=Worksheet!$A$54,Worksheet!B$54,IF(Request!$D58=Worksheet!$A$55,Worksheet!B$55))))))))))),0)+ROUND(N31/Worksheet!$C$5*Worksheet!$C$10*(IF(Request!$D58=Worksheet!$A$47,Worksheet!C$47,IF(Request!$D58=Worksheet!$A$48,Worksheet!C$48,IF(Request!$D58=Worksheet!$A$49,Worksheet!C$49,IF(Request!$D58=Worksheet!$A$50,Worksheet!C$50,IF(Request!$D58=Worksheet!$A$51,Worksheet!C$51,IF(Request!$D58=Worksheet!$A$52,Worksheet!C$52,IF(Request!$D58=Worksheet!$A$53,Worksheet!C$53,IF(Request!$D58=Worksheet!$A$54,Worksheet!C$54,IF(Request!$D58=Worksheet!$A$55,Worksheet!C$55)))))))))),0))))))))</f>
        <v>0</v>
      </c>
      <c r="O58" s="178">
        <f>IF(O31=0,0,IF(AND($D58="F-SMRA",O31=0),0,IF(AND($D58="F-SMRB",O31=0),0,IF(AND($D58="F-SMRC",O31=0),0,IF($D58=Worksheet!$A$68,Worksheet!D316,IF($D58=Worksheet!$A$69,Worksheet!D316,IF($D58=Worksheet!$A$70,Worksheet!D316,ROUND((Request!O31/Worksheet!$D$5*Worksheet!$D$9*(IF(Request!$D58=Worksheet!$A$47,Worksheet!D$47,IF(Request!$D58=Worksheet!$A$48,Worksheet!D$48,IF(Request!$D58=Worksheet!$A$49,Worksheet!D$49,IF(Request!$D58=Worksheet!$A$50,Worksheet!D$50,IF(Request!$D58=Worksheet!$A$51,Worksheet!D$51,IF(Request!$D58=Worksheet!$A$52,Worksheet!D$52,IF(Request!$D58=Worksheet!$A$53,Worksheet!D$53,IF(Request!$D58=Worksheet!$A$54,Worksheet!D$54,IF(Request!$D58=Worksheet!$A$55,Worksheet!D$55))))))))))),0)+ROUND(O31/Worksheet!$D$5*Worksheet!$D$10*(IF(Request!$D58=Worksheet!$A$47,Worksheet!E$47,IF(Request!$D58=Worksheet!$A$48,Worksheet!E$48,IF(Request!$D58=Worksheet!$A$49,Worksheet!E$49,IF(Request!$D58=Worksheet!$A$50,Worksheet!E$50,IF(Request!$D58=Worksheet!$A$51,Worksheet!E$51,IF(Request!$D58=Worksheet!$A$52,Worksheet!E$52,IF(Request!$D58=Worksheet!$A$53,Worksheet!E$53,IF(Request!$D58=Worksheet!$A$54,Worksheet!E$54,IF(Request!$D58=Worksheet!$A$55,Worksheet!E$55)))))))))),0))))))))</f>
        <v>0</v>
      </c>
      <c r="P58" s="178">
        <f>IF(P31=0,0,IF(AND($D58="F-SMRA",P31=0),0,IF(AND($D58="F-SMRB",P31=0),0,IF(AND($D58="F-SMRC",P31=0),0,IF($D58=Worksheet!$A$68,Worksheet!F316,IF($D58=Worksheet!$A$69,Worksheet!F316,IF($D58=Worksheet!$A$70,Worksheet!F316,ROUND((Request!P31/Worksheet!$E$5*Worksheet!$E$9*(IF(Request!$D58=Worksheet!$A$47,Worksheet!F$47,IF(Request!$D58=Worksheet!$A$48,Worksheet!F$48,IF(Request!$D58=Worksheet!$A$49,Worksheet!F$49,IF(Request!$D58=Worksheet!$A$50,Worksheet!F$50,IF(Request!$D58=Worksheet!$A$51,Worksheet!F$51,IF(Request!$D58=Worksheet!$A$52,Worksheet!F$52,IF(Request!$D58=Worksheet!$A$53,Worksheet!F$53,IF(Request!$D58=Worksheet!$A$54,Worksheet!F$54,IF(Request!$D58=Worksheet!$A$55,Worksheet!F$55))))))))))),0)+ROUND(P31/Worksheet!$E$5*Worksheet!$E$10*(IF(Request!$D58=Worksheet!$A$47,Worksheet!G$47,IF(Request!$D58=Worksheet!$A$48,Worksheet!G$48,IF(Request!$D58=Worksheet!$A$49,Worksheet!G$49,IF(Request!$D58=Worksheet!$A$50,Worksheet!G$50,IF(Request!$D58=Worksheet!$A$51,Worksheet!G$51,IF(Request!$D58=Worksheet!$A$52,Worksheet!G$52,IF(Request!$D58=Worksheet!$A$53,Worksheet!G$53,IF(Request!$D58=Worksheet!$A$54,Worksheet!G$54,IF(Request!$D58=Worksheet!$A$55,Worksheet!G$55)))))))))),0))))))))</f>
        <v>0</v>
      </c>
      <c r="Q58" s="178">
        <f>IF(Q31=0,0,IF(AND($D58="F-SMRA",Q31=0),0,IF(AND($D58="F-SMRB",Q31=0),0,IF(AND($D58="F-SMRC",Q31=0),0,IF($D58=Worksheet!$A$68,Worksheet!H316,IF($D58=Worksheet!$A$69,Worksheet!H316,IF($D58=Worksheet!$A$70,Worksheet!H316,ROUND((Request!Q31/Worksheet!$F$5*Worksheet!$F$9*(IF(Request!$D58=Worksheet!$A$47,Worksheet!H$47,IF(Request!$D58=Worksheet!$A$48,Worksheet!H$48,IF(Request!$D58=Worksheet!$A$49,Worksheet!H$49,IF(Request!$D58=Worksheet!$A$50,Worksheet!H$50,IF(Request!$D58=Worksheet!$A$51,Worksheet!H$51,IF(Request!$D58=Worksheet!$A$52,Worksheet!H$52,IF(Request!$D58=Worksheet!$A$53,Worksheet!H$53,IF(Request!$D58=Worksheet!$A$54,Worksheet!H$54,IF(Request!$D58=Worksheet!$A$55,Worksheet!H$55))))))))))),0)+ROUND(Q31/Worksheet!$F$5*Worksheet!$F$10*(IF(Request!$D58=Worksheet!$A$47,Worksheet!I$47,IF(Request!$D58=Worksheet!$A$48,Worksheet!I$48,IF(Request!$D58=Worksheet!$A$49,Worksheet!I$49,IF(Request!$D58=Worksheet!$A$50,Worksheet!I$50,IF(Request!$D58=Worksheet!$A$51,Worksheet!I$51,IF(Request!$D58=Worksheet!$A$52,Worksheet!I$52,IF(Request!$D58=Worksheet!$A$53,Worksheet!I$53,IF(Request!$D58=Worksheet!$A$54,Worksheet!I$54,IF(Request!$D58=Worksheet!$A$55,Worksheet!I$55)))))))))),0))))))))</f>
        <v>0</v>
      </c>
      <c r="R58" s="178">
        <f>IF(R31=0,0,IF(AND($D58="F-SMRA",R31=0),0,IF(AND($D58="F-SMRB",R31=0),0,IF(AND($D58="F-SMRC",R31=0),0,IF($D58=Worksheet!$A$68,Worksheet!J316,IF($D58=Worksheet!$A$69,Worksheet!J316,IF($D58=Worksheet!$A$70,Worksheet!J316,ROUND((Request!R31/Worksheet!$G$5*Worksheet!$G$9*(IF(Request!$D58=Worksheet!$A$47,Worksheet!J$47,IF(Request!$D58=Worksheet!$A$48,Worksheet!J$48,IF(Request!$D58=Worksheet!$A$49,Worksheet!J$49,IF(Request!$D58=Worksheet!$A$50,Worksheet!J$50,IF(Request!$D58=Worksheet!$A$51,Worksheet!J$51,IF(Request!$D58=Worksheet!$A$52,Worksheet!J$52,IF(Request!$D58=Worksheet!$A$53,Worksheet!J$53,IF(Request!$D58=Worksheet!$A$54,Worksheet!J$54,IF(Request!$D58=Worksheet!$A$55,Worksheet!J$55))))))))))),0)+ROUND(R31/Worksheet!$G$5*Worksheet!$G$10*(IF(Request!$D58=Worksheet!$A$47,Worksheet!K$47,IF(Request!$D58=Worksheet!$A$48,Worksheet!K$48,IF(Request!$D58=Worksheet!$A$49,Worksheet!K$49,IF(Request!$D58=Worksheet!$A$50,Worksheet!K$50,IF(Request!$D58=Worksheet!$A$51,Worksheet!K$51,IF(Request!$D58=Worksheet!$A$52,Worksheet!K$52,IF(Request!$D58=Worksheet!$A$53,Worksheet!K$53,IF(Request!$D58=Worksheet!$A$54,Worksheet!K$54,IF(Request!$D58=Worksheet!$A$55,Worksheet!K$55)))))))))),0))))))))</f>
        <v>0</v>
      </c>
      <c r="S58" s="142">
        <f t="shared" si="7"/>
        <v>0</v>
      </c>
      <c r="T58" s="188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</row>
    <row r="59" spans="1:41" hidden="1" x14ac:dyDescent="0.15">
      <c r="A59" s="91">
        <v>17</v>
      </c>
      <c r="B59" s="276">
        <f t="shared" si="8"/>
        <v>0</v>
      </c>
      <c r="C59" s="277"/>
      <c r="D59" s="154" t="s">
        <v>51</v>
      </c>
      <c r="E59" s="172" t="str">
        <f>IF($D59=Worksheet!$A$59,Worksheet!B$59,IF($D59=Worksheet!$A$60,Worksheet!B$60,IF($D59=Worksheet!$A$61,Worksheet!B$61,IF($D59=Worksheet!$A$62,Worksheet!B$62,IF($D59=Worksheet!$A$63,Worksheet!B$63,IF($D59=Worksheet!$A$64,Worksheet!B$64,IF($D59=Worksheet!$A$65,Worksheet!B$65,IF($D59=Worksheet!$A$66,Worksheet!B$66,IF($D59=Worksheet!$A$67,Worksheet!B$67,IF($D59=Worksheet!$A$68,Worksheet!B291,IF($D59=Worksheet!$A$69,Worksheet!B291,IF($D59=Worksheet!$A$70,Worksheet!B291,IF($D59=Worksheet!$A$71,"")))))))))))))</f>
        <v/>
      </c>
      <c r="F59" s="271" t="str">
        <f>IF($D59=Worksheet!$A$59,Worksheet!C$59,IF($D59=Worksheet!$A$60,Worksheet!C$60,IF($D59=Worksheet!$A$61,Worksheet!C$61,IF($D59=Worksheet!$A$62,Worksheet!C$62,IF($D59=Worksheet!$A$63,Worksheet!C$63,IF($D59=Worksheet!$A$64,Worksheet!C$64,IF($D59=Worksheet!$A$65,Worksheet!C$65,IF($D59=Worksheet!$A$66,Worksheet!C$66,IF($D59=Worksheet!$A$67,Worksheet!C$67,IF($D59=Worksheet!$A$68,Worksheet!D291,IF($D59=Worksheet!$A$69,Worksheet!D291,IF($D59=Worksheet!$A$70,Worksheet!D291,IF($D59=Worksheet!$A$71,"")))))))))))))</f>
        <v/>
      </c>
      <c r="G59" s="272"/>
      <c r="H59" s="244" t="str">
        <f>IF($D59=Worksheet!$A$59,Worksheet!D$59,IF($D59=Worksheet!$A$60,Worksheet!D$60,IF($D59=Worksheet!$A$61,Worksheet!D$61,IF($D59=Worksheet!$A$62,Worksheet!D$62,IF($D59=Worksheet!$A$63,Worksheet!D$63,IF($D59=Worksheet!$A$64,Worksheet!D$64,IF($D59=Worksheet!$A$65,Worksheet!D$65,IF($D59=Worksheet!$A$66,Worksheet!D$66,IF($D59=Worksheet!$A$67,Worksheet!D$67,IF($D59=Worksheet!$A$68,Worksheet!F291,IF($D59=Worksheet!$A$69,Worksheet!F291,IF($D59=Worksheet!$A$70,Worksheet!F291,IF($D59=Worksheet!$A$71,"")))))))))))))</f>
        <v/>
      </c>
      <c r="I59" s="245"/>
      <c r="J59" s="244" t="str">
        <f>IF($D59=Worksheet!$A$59,Worksheet!E$59,IF($D59=Worksheet!$A$60,Worksheet!E$60,IF($D59=Worksheet!$A$61,Worksheet!E$61,IF($D59=Worksheet!$A$62,Worksheet!E$62,IF($D59=Worksheet!$A$63,Worksheet!E$63,IF($D59=Worksheet!$A$64,Worksheet!E$64,IF($D59=Worksheet!$A$65,Worksheet!E$65,IF($D59=Worksheet!$A$66,Worksheet!E$66,IF($D59=Worksheet!$A$67,Worksheet!E$67,IF($D59=Worksheet!$A$68,Worksheet!H291,IF($D59=Worksheet!$A$69,Worksheet!H291,IF($D59=Worksheet!$A$70,Worksheet!H291,IF($D59=Worksheet!$A$71,"")))))))))))))</f>
        <v/>
      </c>
      <c r="K59" s="245"/>
      <c r="L59" s="244" t="str">
        <f>IF($D59=Worksheet!$A$59,Worksheet!F$59,IF($D59=Worksheet!$A$60,Worksheet!F$60,IF($D59=Worksheet!$A$61,Worksheet!F$61,IF($D59=Worksheet!$A$62,Worksheet!F$62,IF($D59=Worksheet!$A$63,Worksheet!F$63,IF($D59=Worksheet!$A$64,Worksheet!F$64,IF($D59=Worksheet!$A$65,Worksheet!F$65,IF($D59=Worksheet!$A$66,Worksheet!F$66,IF($D59=Worksheet!$A$67,Worksheet!F$67,IF($D59=Worksheet!$A$68,Worksheet!J291,IF($D59=Worksheet!$A$69,Worksheet!J291,IF($D59=Worksheet!$A$70,Worksheet!J291,IF($D59=Worksheet!$A$71,"")))))))))))))</f>
        <v/>
      </c>
      <c r="M59" s="245"/>
      <c r="N59" s="178">
        <f>IF(N32=0,0,IF(AND($D59="F-SMRA",N32=0),0,IF(AND($D59="F-SMRB",N32=0),0,IF(AND($D59="F-SMRC",N32=0),0,IF($D59=Worksheet!$A$68,Worksheet!B317,IF($D59=Worksheet!$A$69,Worksheet!B317,IF($D59=Worksheet!$A$70,Worksheet!B317,ROUND((Request!N32/Worksheet!$C$5*Worksheet!$C$9*(IF(Request!$D59=Worksheet!$A$47,Worksheet!B$47,IF(Request!$D59=Worksheet!$A$48,Worksheet!B$48,IF(Request!$D59=Worksheet!$A$49,Worksheet!B$49,IF(Request!$D59=Worksheet!$A$50,Worksheet!B$50,IF(Request!$D59=Worksheet!$A$51,Worksheet!B$51,IF(Request!$D59=Worksheet!$A$52,Worksheet!B$52,IF(Request!$D59=Worksheet!$A$53,Worksheet!B$53,IF(Request!$D59=Worksheet!$A$54,Worksheet!B$54,IF(Request!$D59=Worksheet!$A$55,Worksheet!B$55))))))))))),0)+ROUND(N32/Worksheet!$C$5*Worksheet!$C$10*(IF(Request!$D59=Worksheet!$A$47,Worksheet!C$47,IF(Request!$D59=Worksheet!$A$48,Worksheet!C$48,IF(Request!$D59=Worksheet!$A$49,Worksheet!C$49,IF(Request!$D59=Worksheet!$A$50,Worksheet!C$50,IF(Request!$D59=Worksheet!$A$51,Worksheet!C$51,IF(Request!$D59=Worksheet!$A$52,Worksheet!C$52,IF(Request!$D59=Worksheet!$A$53,Worksheet!C$53,IF(Request!$D59=Worksheet!$A$54,Worksheet!C$54,IF(Request!$D59=Worksheet!$A$55,Worksheet!C$55)))))))))),0))))))))</f>
        <v>0</v>
      </c>
      <c r="O59" s="178">
        <f>IF(O32=0,0,IF(AND($D59="F-SMRA",O32=0),0,IF(AND($D59="F-SMRB",O32=0),0,IF(AND($D59="F-SMRC",O32=0),0,IF($D59=Worksheet!$A$68,Worksheet!D317,IF($D59=Worksheet!$A$69,Worksheet!D317,IF($D59=Worksheet!$A$70,Worksheet!D317,ROUND((Request!O32/Worksheet!$D$5*Worksheet!$D$9*(IF(Request!$D59=Worksheet!$A$47,Worksheet!D$47,IF(Request!$D59=Worksheet!$A$48,Worksheet!D$48,IF(Request!$D59=Worksheet!$A$49,Worksheet!D$49,IF(Request!$D59=Worksheet!$A$50,Worksheet!D$50,IF(Request!$D59=Worksheet!$A$51,Worksheet!D$51,IF(Request!$D59=Worksheet!$A$52,Worksheet!D$52,IF(Request!$D59=Worksheet!$A$53,Worksheet!D$53,IF(Request!$D59=Worksheet!$A$54,Worksheet!D$54,IF(Request!$D59=Worksheet!$A$55,Worksheet!D$55))))))))))),0)+ROUND(O32/Worksheet!$D$5*Worksheet!$D$10*(IF(Request!$D59=Worksheet!$A$47,Worksheet!E$47,IF(Request!$D59=Worksheet!$A$48,Worksheet!E$48,IF(Request!$D59=Worksheet!$A$49,Worksheet!E$49,IF(Request!$D59=Worksheet!$A$50,Worksheet!E$50,IF(Request!$D59=Worksheet!$A$51,Worksheet!E$51,IF(Request!$D59=Worksheet!$A$52,Worksheet!E$52,IF(Request!$D59=Worksheet!$A$53,Worksheet!E$53,IF(Request!$D59=Worksheet!$A$54,Worksheet!E$54,IF(Request!$D59=Worksheet!$A$55,Worksheet!E$55)))))))))),0))))))))</f>
        <v>0</v>
      </c>
      <c r="P59" s="178">
        <f>IF(P32=0,0,IF(AND($D59="F-SMRA",P32=0),0,IF(AND($D59="F-SMRB",P32=0),0,IF(AND($D59="F-SMRC",P32=0),0,IF($D59=Worksheet!$A$68,Worksheet!F317,IF($D59=Worksheet!$A$69,Worksheet!F317,IF($D59=Worksheet!$A$70,Worksheet!F317,ROUND((Request!P32/Worksheet!$E$5*Worksheet!$E$9*(IF(Request!$D59=Worksheet!$A$47,Worksheet!F$47,IF(Request!$D59=Worksheet!$A$48,Worksheet!F$48,IF(Request!$D59=Worksheet!$A$49,Worksheet!F$49,IF(Request!$D59=Worksheet!$A$50,Worksheet!F$50,IF(Request!$D59=Worksheet!$A$51,Worksheet!F$51,IF(Request!$D59=Worksheet!$A$52,Worksheet!F$52,IF(Request!$D59=Worksheet!$A$53,Worksheet!F$53,IF(Request!$D59=Worksheet!$A$54,Worksheet!F$54,IF(Request!$D59=Worksheet!$A$55,Worksheet!F$55))))))))))),0)+ROUND(P32/Worksheet!$E$5*Worksheet!$E$10*(IF(Request!$D59=Worksheet!$A$47,Worksheet!G$47,IF(Request!$D59=Worksheet!$A$48,Worksheet!G$48,IF(Request!$D59=Worksheet!$A$49,Worksheet!G$49,IF(Request!$D59=Worksheet!$A$50,Worksheet!G$50,IF(Request!$D59=Worksheet!$A$51,Worksheet!G$51,IF(Request!$D59=Worksheet!$A$52,Worksheet!G$52,IF(Request!$D59=Worksheet!$A$53,Worksheet!G$53,IF(Request!$D59=Worksheet!$A$54,Worksheet!G$54,IF(Request!$D59=Worksheet!$A$55,Worksheet!G$55)))))))))),0))))))))</f>
        <v>0</v>
      </c>
      <c r="Q59" s="178">
        <f>IF(Q32=0,0,IF(AND($D59="F-SMRA",Q32=0),0,IF(AND($D59="F-SMRB",Q32=0),0,IF(AND($D59="F-SMRC",Q32=0),0,IF($D59=Worksheet!$A$68,Worksheet!H317,IF($D59=Worksheet!$A$69,Worksheet!H317,IF($D59=Worksheet!$A$70,Worksheet!H317,ROUND((Request!Q32/Worksheet!$F$5*Worksheet!$F$9*(IF(Request!$D59=Worksheet!$A$47,Worksheet!H$47,IF(Request!$D59=Worksheet!$A$48,Worksheet!H$48,IF(Request!$D59=Worksheet!$A$49,Worksheet!H$49,IF(Request!$D59=Worksheet!$A$50,Worksheet!H$50,IF(Request!$D59=Worksheet!$A$51,Worksheet!H$51,IF(Request!$D59=Worksheet!$A$52,Worksheet!H$52,IF(Request!$D59=Worksheet!$A$53,Worksheet!H$53,IF(Request!$D59=Worksheet!$A$54,Worksheet!H$54,IF(Request!$D59=Worksheet!$A$55,Worksheet!H$55))))))))))),0)+ROUND(Q32/Worksheet!$F$5*Worksheet!$F$10*(IF(Request!$D59=Worksheet!$A$47,Worksheet!I$47,IF(Request!$D59=Worksheet!$A$48,Worksheet!I$48,IF(Request!$D59=Worksheet!$A$49,Worksheet!I$49,IF(Request!$D59=Worksheet!$A$50,Worksheet!I$50,IF(Request!$D59=Worksheet!$A$51,Worksheet!I$51,IF(Request!$D59=Worksheet!$A$52,Worksheet!I$52,IF(Request!$D59=Worksheet!$A$53,Worksheet!I$53,IF(Request!$D59=Worksheet!$A$54,Worksheet!I$54,IF(Request!$D59=Worksheet!$A$55,Worksheet!I$55)))))))))),0))))))))</f>
        <v>0</v>
      </c>
      <c r="R59" s="178">
        <f>IF(R32=0,0,IF(AND($D59="F-SMRA",R32=0),0,IF(AND($D59="F-SMRB",R32=0),0,IF(AND($D59="F-SMRC",R32=0),0,IF($D59=Worksheet!$A$68,Worksheet!J317,IF($D59=Worksheet!$A$69,Worksheet!J317,IF($D59=Worksheet!$A$70,Worksheet!J317,ROUND((Request!R32/Worksheet!$G$5*Worksheet!$G$9*(IF(Request!$D59=Worksheet!$A$47,Worksheet!J$47,IF(Request!$D59=Worksheet!$A$48,Worksheet!J$48,IF(Request!$D59=Worksheet!$A$49,Worksheet!J$49,IF(Request!$D59=Worksheet!$A$50,Worksheet!J$50,IF(Request!$D59=Worksheet!$A$51,Worksheet!J$51,IF(Request!$D59=Worksheet!$A$52,Worksheet!J$52,IF(Request!$D59=Worksheet!$A$53,Worksheet!J$53,IF(Request!$D59=Worksheet!$A$54,Worksheet!J$54,IF(Request!$D59=Worksheet!$A$55,Worksheet!J$55))))))))))),0)+ROUND(R32/Worksheet!$G$5*Worksheet!$G$10*(IF(Request!$D59=Worksheet!$A$47,Worksheet!K$47,IF(Request!$D59=Worksheet!$A$48,Worksheet!K$48,IF(Request!$D59=Worksheet!$A$49,Worksheet!K$49,IF(Request!$D59=Worksheet!$A$50,Worksheet!K$50,IF(Request!$D59=Worksheet!$A$51,Worksheet!K$51,IF(Request!$D59=Worksheet!$A$52,Worksheet!K$52,IF(Request!$D59=Worksheet!$A$53,Worksheet!K$53,IF(Request!$D59=Worksheet!$A$54,Worksheet!K$54,IF(Request!$D59=Worksheet!$A$55,Worksheet!K$55)))))))))),0))))))))</f>
        <v>0</v>
      </c>
      <c r="S59" s="142">
        <f t="shared" si="7"/>
        <v>0</v>
      </c>
      <c r="T59" s="188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</row>
    <row r="60" spans="1:41" hidden="1" x14ac:dyDescent="0.15">
      <c r="A60" s="91">
        <v>18</v>
      </c>
      <c r="B60" s="276">
        <f t="shared" si="8"/>
        <v>0</v>
      </c>
      <c r="C60" s="277"/>
      <c r="D60" s="154" t="s">
        <v>51</v>
      </c>
      <c r="E60" s="172" t="str">
        <f>IF($D60=Worksheet!$A$59,Worksheet!B$59,IF($D60=Worksheet!$A$60,Worksheet!B$60,IF($D60=Worksheet!$A$61,Worksheet!B$61,IF($D60=Worksheet!$A$62,Worksheet!B$62,IF($D60=Worksheet!$A$63,Worksheet!B$63,IF($D60=Worksheet!$A$64,Worksheet!B$64,IF($D60=Worksheet!$A$65,Worksheet!B$65,IF($D60=Worksheet!$A$66,Worksheet!B$66,IF($D60=Worksheet!$A$67,Worksheet!B$67,IF($D60=Worksheet!$A$68,Worksheet!B292,IF($D60=Worksheet!$A$69,Worksheet!B292,IF($D60=Worksheet!$A$70,Worksheet!B292,IF($D60=Worksheet!$A$71,"")))))))))))))</f>
        <v/>
      </c>
      <c r="F60" s="271" t="str">
        <f>IF($D60=Worksheet!$A$59,Worksheet!C$59,IF($D60=Worksheet!$A$60,Worksheet!C$60,IF($D60=Worksheet!$A$61,Worksheet!C$61,IF($D60=Worksheet!$A$62,Worksheet!C$62,IF($D60=Worksheet!$A$63,Worksheet!C$63,IF($D60=Worksheet!$A$64,Worksheet!C$64,IF($D60=Worksheet!$A$65,Worksheet!C$65,IF($D60=Worksheet!$A$66,Worksheet!C$66,IF($D60=Worksheet!$A$67,Worksheet!C$67,IF($D60=Worksheet!$A$68,Worksheet!D292,IF($D60=Worksheet!$A$69,Worksheet!D292,IF($D60=Worksheet!$A$70,Worksheet!D292,IF($D60=Worksheet!$A$71,"")))))))))))))</f>
        <v/>
      </c>
      <c r="G60" s="272"/>
      <c r="H60" s="244" t="str">
        <f>IF($D60=Worksheet!$A$59,Worksheet!D$59,IF($D60=Worksheet!$A$60,Worksheet!D$60,IF($D60=Worksheet!$A$61,Worksheet!D$61,IF($D60=Worksheet!$A$62,Worksheet!D$62,IF($D60=Worksheet!$A$63,Worksheet!D$63,IF($D60=Worksheet!$A$64,Worksheet!D$64,IF($D60=Worksheet!$A$65,Worksheet!D$65,IF($D60=Worksheet!$A$66,Worksheet!D$66,IF($D60=Worksheet!$A$67,Worksheet!D$67,IF($D60=Worksheet!$A$68,Worksheet!F292,IF($D60=Worksheet!$A$69,Worksheet!F292,IF($D60=Worksheet!$A$70,Worksheet!F292,IF($D60=Worksheet!$A$71,"")))))))))))))</f>
        <v/>
      </c>
      <c r="I60" s="245"/>
      <c r="J60" s="244" t="str">
        <f>IF($D60=Worksheet!$A$59,Worksheet!E$59,IF($D60=Worksheet!$A$60,Worksheet!E$60,IF($D60=Worksheet!$A$61,Worksheet!E$61,IF($D60=Worksheet!$A$62,Worksheet!E$62,IF($D60=Worksheet!$A$63,Worksheet!E$63,IF($D60=Worksheet!$A$64,Worksheet!E$64,IF($D60=Worksheet!$A$65,Worksheet!E$65,IF($D60=Worksheet!$A$66,Worksheet!E$66,IF($D60=Worksheet!$A$67,Worksheet!E$67,IF($D60=Worksheet!$A$68,Worksheet!H292,IF($D60=Worksheet!$A$69,Worksheet!H292,IF($D60=Worksheet!$A$70,Worksheet!H292,IF($D60=Worksheet!$A$71,"")))))))))))))</f>
        <v/>
      </c>
      <c r="K60" s="245"/>
      <c r="L60" s="244" t="str">
        <f>IF($D60=Worksheet!$A$59,Worksheet!F$59,IF($D60=Worksheet!$A$60,Worksheet!F$60,IF($D60=Worksheet!$A$61,Worksheet!F$61,IF($D60=Worksheet!$A$62,Worksheet!F$62,IF($D60=Worksheet!$A$63,Worksheet!F$63,IF($D60=Worksheet!$A$64,Worksheet!F$64,IF($D60=Worksheet!$A$65,Worksheet!F$65,IF($D60=Worksheet!$A$66,Worksheet!F$66,IF($D60=Worksheet!$A$67,Worksheet!F$67,IF($D60=Worksheet!$A$68,Worksheet!J292,IF($D60=Worksheet!$A$69,Worksheet!J292,IF($D60=Worksheet!$A$70,Worksheet!J292,IF($D60=Worksheet!$A$71,"")))))))))))))</f>
        <v/>
      </c>
      <c r="M60" s="245"/>
      <c r="N60" s="178">
        <f>IF(N33=0,0,IF(AND($D60="F-SMRA",N33=0),0,IF(AND($D60="F-SMRB",N33=0),0,IF(AND($D60="F-SMRC",N33=0),0,IF($D60=Worksheet!$A$68,Worksheet!B318,IF($D60=Worksheet!$A$69,Worksheet!B318,IF($D60=Worksheet!$A$70,Worksheet!B318,ROUND((Request!N33/Worksheet!$C$5*Worksheet!$C$9*(IF(Request!$D60=Worksheet!$A$47,Worksheet!B$47,IF(Request!$D60=Worksheet!$A$48,Worksheet!B$48,IF(Request!$D60=Worksheet!$A$49,Worksheet!B$49,IF(Request!$D60=Worksheet!$A$50,Worksheet!B$50,IF(Request!$D60=Worksheet!$A$51,Worksheet!B$51,IF(Request!$D60=Worksheet!$A$52,Worksheet!B$52,IF(Request!$D60=Worksheet!$A$53,Worksheet!B$53,IF(Request!$D60=Worksheet!$A$54,Worksheet!B$54,IF(Request!$D60=Worksheet!$A$55,Worksheet!B$55))))))))))),0)+ROUND(N33/Worksheet!$C$5*Worksheet!$C$10*(IF(Request!$D60=Worksheet!$A$47,Worksheet!C$47,IF(Request!$D60=Worksheet!$A$48,Worksheet!C$48,IF(Request!$D60=Worksheet!$A$49,Worksheet!C$49,IF(Request!$D60=Worksheet!$A$50,Worksheet!C$50,IF(Request!$D60=Worksheet!$A$51,Worksheet!C$51,IF(Request!$D60=Worksheet!$A$52,Worksheet!C$52,IF(Request!$D60=Worksheet!$A$53,Worksheet!C$53,IF(Request!$D60=Worksheet!$A$54,Worksheet!C$54,IF(Request!$D60=Worksheet!$A$55,Worksheet!C$55)))))))))),0))))))))</f>
        <v>0</v>
      </c>
      <c r="O60" s="178">
        <f>IF(O33=0,0,IF(AND($D60="F-SMRA",O33=0),0,IF(AND($D60="F-SMRB",O33=0),0,IF(AND($D60="F-SMRC",O33=0),0,IF($D60=Worksheet!$A$68,Worksheet!D318,IF($D60=Worksheet!$A$69,Worksheet!D318,IF($D60=Worksheet!$A$70,Worksheet!D318,ROUND((Request!O33/Worksheet!$D$5*Worksheet!$D$9*(IF(Request!$D60=Worksheet!$A$47,Worksheet!D$47,IF(Request!$D60=Worksheet!$A$48,Worksheet!D$48,IF(Request!$D60=Worksheet!$A$49,Worksheet!D$49,IF(Request!$D60=Worksheet!$A$50,Worksheet!D$50,IF(Request!$D60=Worksheet!$A$51,Worksheet!D$51,IF(Request!$D60=Worksheet!$A$52,Worksheet!D$52,IF(Request!$D60=Worksheet!$A$53,Worksheet!D$53,IF(Request!$D60=Worksheet!$A$54,Worksheet!D$54,IF(Request!$D60=Worksheet!$A$55,Worksheet!D$55))))))))))),0)+ROUND(O33/Worksheet!$D$5*Worksheet!$D$10*(IF(Request!$D60=Worksheet!$A$47,Worksheet!E$47,IF(Request!$D60=Worksheet!$A$48,Worksheet!E$48,IF(Request!$D60=Worksheet!$A$49,Worksheet!E$49,IF(Request!$D60=Worksheet!$A$50,Worksheet!E$50,IF(Request!$D60=Worksheet!$A$51,Worksheet!E$51,IF(Request!$D60=Worksheet!$A$52,Worksheet!E$52,IF(Request!$D60=Worksheet!$A$53,Worksheet!E$53,IF(Request!$D60=Worksheet!$A$54,Worksheet!E$54,IF(Request!$D60=Worksheet!$A$55,Worksheet!E$55)))))))))),0))))))))</f>
        <v>0</v>
      </c>
      <c r="P60" s="178">
        <f>IF(P33=0,0,IF(AND($D60="F-SMRA",P33=0),0,IF(AND($D60="F-SMRB",P33=0),0,IF(AND($D60="F-SMRC",P33=0),0,IF($D60=Worksheet!$A$68,Worksheet!F318,IF($D60=Worksheet!$A$69,Worksheet!F318,IF($D60=Worksheet!$A$70,Worksheet!F318,ROUND((Request!P33/Worksheet!$E$5*Worksheet!$E$9*(IF(Request!$D60=Worksheet!$A$47,Worksheet!F$47,IF(Request!$D60=Worksheet!$A$48,Worksheet!F$48,IF(Request!$D60=Worksheet!$A$49,Worksheet!F$49,IF(Request!$D60=Worksheet!$A$50,Worksheet!F$50,IF(Request!$D60=Worksheet!$A$51,Worksheet!F$51,IF(Request!$D60=Worksheet!$A$52,Worksheet!F$52,IF(Request!$D60=Worksheet!$A$53,Worksheet!F$53,IF(Request!$D60=Worksheet!$A$54,Worksheet!F$54,IF(Request!$D60=Worksheet!$A$55,Worksheet!F$55))))))))))),0)+ROUND(P33/Worksheet!$E$5*Worksheet!$E$10*(IF(Request!$D60=Worksheet!$A$47,Worksheet!G$47,IF(Request!$D60=Worksheet!$A$48,Worksheet!G$48,IF(Request!$D60=Worksheet!$A$49,Worksheet!G$49,IF(Request!$D60=Worksheet!$A$50,Worksheet!G$50,IF(Request!$D60=Worksheet!$A$51,Worksheet!G$51,IF(Request!$D60=Worksheet!$A$52,Worksheet!G$52,IF(Request!$D60=Worksheet!$A$53,Worksheet!G$53,IF(Request!$D60=Worksheet!$A$54,Worksheet!G$54,IF(Request!$D60=Worksheet!$A$55,Worksheet!G$55)))))))))),0))))))))</f>
        <v>0</v>
      </c>
      <c r="Q60" s="178">
        <f>IF(Q33=0,0,IF(AND($D60="F-SMRA",Q33=0),0,IF(AND($D60="F-SMRB",Q33=0),0,IF(AND($D60="F-SMRC",Q33=0),0,IF($D60=Worksheet!$A$68,Worksheet!H318,IF($D60=Worksheet!$A$69,Worksheet!H318,IF($D60=Worksheet!$A$70,Worksheet!H318,ROUND((Request!Q33/Worksheet!$F$5*Worksheet!$F$9*(IF(Request!$D60=Worksheet!$A$47,Worksheet!H$47,IF(Request!$D60=Worksheet!$A$48,Worksheet!H$48,IF(Request!$D60=Worksheet!$A$49,Worksheet!H$49,IF(Request!$D60=Worksheet!$A$50,Worksheet!H$50,IF(Request!$D60=Worksheet!$A$51,Worksheet!H$51,IF(Request!$D60=Worksheet!$A$52,Worksheet!H$52,IF(Request!$D60=Worksheet!$A$53,Worksheet!H$53,IF(Request!$D60=Worksheet!$A$54,Worksheet!H$54,IF(Request!$D60=Worksheet!$A$55,Worksheet!H$55))))))))))),0)+ROUND(Q33/Worksheet!$F$5*Worksheet!$F$10*(IF(Request!$D60=Worksheet!$A$47,Worksheet!I$47,IF(Request!$D60=Worksheet!$A$48,Worksheet!I$48,IF(Request!$D60=Worksheet!$A$49,Worksheet!I$49,IF(Request!$D60=Worksheet!$A$50,Worksheet!I$50,IF(Request!$D60=Worksheet!$A$51,Worksheet!I$51,IF(Request!$D60=Worksheet!$A$52,Worksheet!I$52,IF(Request!$D60=Worksheet!$A$53,Worksheet!I$53,IF(Request!$D60=Worksheet!$A$54,Worksheet!I$54,IF(Request!$D60=Worksheet!$A$55,Worksheet!I$55)))))))))),0))))))))</f>
        <v>0</v>
      </c>
      <c r="R60" s="178">
        <f>IF(R33=0,0,IF(AND($D60="F-SMRA",R33=0),0,IF(AND($D60="F-SMRB",R33=0),0,IF(AND($D60="F-SMRC",R33=0),0,IF($D60=Worksheet!$A$68,Worksheet!J318,IF($D60=Worksheet!$A$69,Worksheet!J318,IF($D60=Worksheet!$A$70,Worksheet!J318,ROUND((Request!R33/Worksheet!$G$5*Worksheet!$G$9*(IF(Request!$D60=Worksheet!$A$47,Worksheet!J$47,IF(Request!$D60=Worksheet!$A$48,Worksheet!J$48,IF(Request!$D60=Worksheet!$A$49,Worksheet!J$49,IF(Request!$D60=Worksheet!$A$50,Worksheet!J$50,IF(Request!$D60=Worksheet!$A$51,Worksheet!J$51,IF(Request!$D60=Worksheet!$A$52,Worksheet!J$52,IF(Request!$D60=Worksheet!$A$53,Worksheet!J$53,IF(Request!$D60=Worksheet!$A$54,Worksheet!J$54,IF(Request!$D60=Worksheet!$A$55,Worksheet!J$55))))))))))),0)+ROUND(R33/Worksheet!$G$5*Worksheet!$G$10*(IF(Request!$D60=Worksheet!$A$47,Worksheet!K$47,IF(Request!$D60=Worksheet!$A$48,Worksheet!K$48,IF(Request!$D60=Worksheet!$A$49,Worksheet!K$49,IF(Request!$D60=Worksheet!$A$50,Worksheet!K$50,IF(Request!$D60=Worksheet!$A$51,Worksheet!K$51,IF(Request!$D60=Worksheet!$A$52,Worksheet!K$52,IF(Request!$D60=Worksheet!$A$53,Worksheet!K$53,IF(Request!$D60=Worksheet!$A$54,Worksheet!K$54,IF(Request!$D60=Worksheet!$A$55,Worksheet!K$55)))))))))),0))))))))</f>
        <v>0</v>
      </c>
      <c r="S60" s="142">
        <f t="shared" si="7"/>
        <v>0</v>
      </c>
      <c r="T60" s="188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</row>
    <row r="61" spans="1:41" hidden="1" x14ac:dyDescent="0.15">
      <c r="A61" s="91">
        <v>19</v>
      </c>
      <c r="B61" s="276">
        <f t="shared" si="8"/>
        <v>0</v>
      </c>
      <c r="C61" s="277"/>
      <c r="D61" s="154" t="s">
        <v>51</v>
      </c>
      <c r="E61" s="172" t="str">
        <f>IF($D61=Worksheet!$A$59,Worksheet!B$59,IF($D61=Worksheet!$A$60,Worksheet!B$60,IF($D61=Worksheet!$A$61,Worksheet!B$61,IF($D61=Worksheet!$A$62,Worksheet!B$62,IF($D61=Worksheet!$A$63,Worksheet!B$63,IF($D61=Worksheet!$A$64,Worksheet!B$64,IF($D61=Worksheet!$A$65,Worksheet!B$65,IF($D61=Worksheet!$A$66,Worksheet!B$66,IF($D61=Worksheet!$A$67,Worksheet!B$67,IF($D61=Worksheet!$A$68,Worksheet!B293,IF($D61=Worksheet!$A$69,Worksheet!B293,IF($D61=Worksheet!$A$70,Worksheet!B293,IF($D61=Worksheet!$A$71,"")))))))))))))</f>
        <v/>
      </c>
      <c r="F61" s="271" t="str">
        <f>IF($D61=Worksheet!$A$59,Worksheet!C$59,IF($D61=Worksheet!$A$60,Worksheet!C$60,IF($D61=Worksheet!$A$61,Worksheet!C$61,IF($D61=Worksheet!$A$62,Worksheet!C$62,IF($D61=Worksheet!$A$63,Worksheet!C$63,IF($D61=Worksheet!$A$64,Worksheet!C$64,IF($D61=Worksheet!$A$65,Worksheet!C$65,IF($D61=Worksheet!$A$66,Worksheet!C$66,IF($D61=Worksheet!$A$67,Worksheet!C$67,IF($D61=Worksheet!$A$68,Worksheet!D293,IF($D61=Worksheet!$A$69,Worksheet!D293,IF($D61=Worksheet!$A$70,Worksheet!D293,IF($D61=Worksheet!$A$71,"")))))))))))))</f>
        <v/>
      </c>
      <c r="G61" s="272"/>
      <c r="H61" s="244" t="str">
        <f>IF($D61=Worksheet!$A$59,Worksheet!D$59,IF($D61=Worksheet!$A$60,Worksheet!D$60,IF($D61=Worksheet!$A$61,Worksheet!D$61,IF($D61=Worksheet!$A$62,Worksheet!D$62,IF($D61=Worksheet!$A$63,Worksheet!D$63,IF($D61=Worksheet!$A$64,Worksheet!D$64,IF($D61=Worksheet!$A$65,Worksheet!D$65,IF($D61=Worksheet!$A$66,Worksheet!D$66,IF($D61=Worksheet!$A$67,Worksheet!D$67,IF($D61=Worksheet!$A$68,Worksheet!F293,IF($D61=Worksheet!$A$69,Worksheet!F293,IF($D61=Worksheet!$A$70,Worksheet!F293,IF($D61=Worksheet!$A$71,"")))))))))))))</f>
        <v/>
      </c>
      <c r="I61" s="245"/>
      <c r="J61" s="244" t="str">
        <f>IF($D61=Worksheet!$A$59,Worksheet!E$59,IF($D61=Worksheet!$A$60,Worksheet!E$60,IF($D61=Worksheet!$A$61,Worksheet!E$61,IF($D61=Worksheet!$A$62,Worksheet!E$62,IF($D61=Worksheet!$A$63,Worksheet!E$63,IF($D61=Worksheet!$A$64,Worksheet!E$64,IF($D61=Worksheet!$A$65,Worksheet!E$65,IF($D61=Worksheet!$A$66,Worksheet!E$66,IF($D61=Worksheet!$A$67,Worksheet!E$67,IF($D61=Worksheet!$A$68,Worksheet!H293,IF($D61=Worksheet!$A$69,Worksheet!H293,IF($D61=Worksheet!$A$70,Worksheet!H293,IF($D61=Worksheet!$A$71,"")))))))))))))</f>
        <v/>
      </c>
      <c r="K61" s="245"/>
      <c r="L61" s="244" t="str">
        <f>IF($D61=Worksheet!$A$59,Worksheet!F$59,IF($D61=Worksheet!$A$60,Worksheet!F$60,IF($D61=Worksheet!$A$61,Worksheet!F$61,IF($D61=Worksheet!$A$62,Worksheet!F$62,IF($D61=Worksheet!$A$63,Worksheet!F$63,IF($D61=Worksheet!$A$64,Worksheet!F$64,IF($D61=Worksheet!$A$65,Worksheet!F$65,IF($D61=Worksheet!$A$66,Worksheet!F$66,IF($D61=Worksheet!$A$67,Worksheet!F$67,IF($D61=Worksheet!$A$68,Worksheet!J293,IF($D61=Worksheet!$A$69,Worksheet!J293,IF($D61=Worksheet!$A$70,Worksheet!J293,IF($D61=Worksheet!$A$71,"")))))))))))))</f>
        <v/>
      </c>
      <c r="M61" s="245"/>
      <c r="N61" s="178">
        <f>IF(N34=0,0,IF(AND($D61="F-SMRA",N34=0),0,IF(AND($D61="F-SMRB",N34=0),0,IF(AND($D61="F-SMRC",N34=0),0,IF($D61=Worksheet!$A$68,Worksheet!B319,IF($D61=Worksheet!$A$69,Worksheet!B319,IF($D61=Worksheet!$A$70,Worksheet!B319,ROUND((Request!N34/Worksheet!$C$5*Worksheet!$C$9*(IF(Request!$D61=Worksheet!$A$47,Worksheet!B$47,IF(Request!$D61=Worksheet!$A$48,Worksheet!B$48,IF(Request!$D61=Worksheet!$A$49,Worksheet!B$49,IF(Request!$D61=Worksheet!$A$50,Worksheet!B$50,IF(Request!$D61=Worksheet!$A$51,Worksheet!B$51,IF(Request!$D61=Worksheet!$A$52,Worksheet!B$52,IF(Request!$D61=Worksheet!$A$53,Worksheet!B$53,IF(Request!$D61=Worksheet!$A$54,Worksheet!B$54,IF(Request!$D61=Worksheet!$A$55,Worksheet!B$55))))))))))),0)+ROUND(N34/Worksheet!$C$5*Worksheet!$C$10*(IF(Request!$D61=Worksheet!$A$47,Worksheet!C$47,IF(Request!$D61=Worksheet!$A$48,Worksheet!C$48,IF(Request!$D61=Worksheet!$A$49,Worksheet!C$49,IF(Request!$D61=Worksheet!$A$50,Worksheet!C$50,IF(Request!$D61=Worksheet!$A$51,Worksheet!C$51,IF(Request!$D61=Worksheet!$A$52,Worksheet!C$52,IF(Request!$D61=Worksheet!$A$53,Worksheet!C$53,IF(Request!$D61=Worksheet!$A$54,Worksheet!C$54,IF(Request!$D61=Worksheet!$A$55,Worksheet!C$55)))))))))),0))))))))</f>
        <v>0</v>
      </c>
      <c r="O61" s="178">
        <f>IF(O34=0,0,IF(AND($D61="F-SMRA",O34=0),0,IF(AND($D61="F-SMRB",O34=0),0,IF(AND($D61="F-SMRC",O34=0),0,IF($D61=Worksheet!$A$68,Worksheet!D319,IF($D61=Worksheet!$A$69,Worksheet!D319,IF($D61=Worksheet!$A$70,Worksheet!D319,ROUND((Request!O34/Worksheet!$D$5*Worksheet!$D$9*(IF(Request!$D61=Worksheet!$A$47,Worksheet!D$47,IF(Request!$D61=Worksheet!$A$48,Worksheet!D$48,IF(Request!$D61=Worksheet!$A$49,Worksheet!D$49,IF(Request!$D61=Worksheet!$A$50,Worksheet!D$50,IF(Request!$D61=Worksheet!$A$51,Worksheet!D$51,IF(Request!$D61=Worksheet!$A$52,Worksheet!D$52,IF(Request!$D61=Worksheet!$A$53,Worksheet!D$53,IF(Request!$D61=Worksheet!$A$54,Worksheet!D$54,IF(Request!$D61=Worksheet!$A$55,Worksheet!D$55))))))))))),0)+ROUND(O34/Worksheet!$D$5*Worksheet!$D$10*(IF(Request!$D61=Worksheet!$A$47,Worksheet!E$47,IF(Request!$D61=Worksheet!$A$48,Worksheet!E$48,IF(Request!$D61=Worksheet!$A$49,Worksheet!E$49,IF(Request!$D61=Worksheet!$A$50,Worksheet!E$50,IF(Request!$D61=Worksheet!$A$51,Worksheet!E$51,IF(Request!$D61=Worksheet!$A$52,Worksheet!E$52,IF(Request!$D61=Worksheet!$A$53,Worksheet!E$53,IF(Request!$D61=Worksheet!$A$54,Worksheet!E$54,IF(Request!$D61=Worksheet!$A$55,Worksheet!E$55)))))))))),0))))))))</f>
        <v>0</v>
      </c>
      <c r="P61" s="178">
        <f>IF(P34=0,0,IF(AND($D61="F-SMRA",P34=0),0,IF(AND($D61="F-SMRB",P34=0),0,IF(AND($D61="F-SMRC",P34=0),0,IF($D61=Worksheet!$A$68,Worksheet!F319,IF($D61=Worksheet!$A$69,Worksheet!F319,IF($D61=Worksheet!$A$70,Worksheet!F319,ROUND((Request!P34/Worksheet!$E$5*Worksheet!$E$9*(IF(Request!$D61=Worksheet!$A$47,Worksheet!F$47,IF(Request!$D61=Worksheet!$A$48,Worksheet!F$48,IF(Request!$D61=Worksheet!$A$49,Worksheet!F$49,IF(Request!$D61=Worksheet!$A$50,Worksheet!F$50,IF(Request!$D61=Worksheet!$A$51,Worksheet!F$51,IF(Request!$D61=Worksheet!$A$52,Worksheet!F$52,IF(Request!$D61=Worksheet!$A$53,Worksheet!F$53,IF(Request!$D61=Worksheet!$A$54,Worksheet!F$54,IF(Request!$D61=Worksheet!$A$55,Worksheet!F$55))))))))))),0)+ROUND(P34/Worksheet!$E$5*Worksheet!$E$10*(IF(Request!$D61=Worksheet!$A$47,Worksheet!G$47,IF(Request!$D61=Worksheet!$A$48,Worksheet!G$48,IF(Request!$D61=Worksheet!$A$49,Worksheet!G$49,IF(Request!$D61=Worksheet!$A$50,Worksheet!G$50,IF(Request!$D61=Worksheet!$A$51,Worksheet!G$51,IF(Request!$D61=Worksheet!$A$52,Worksheet!G$52,IF(Request!$D61=Worksheet!$A$53,Worksheet!G$53,IF(Request!$D61=Worksheet!$A$54,Worksheet!G$54,IF(Request!$D61=Worksheet!$A$55,Worksheet!G$55)))))))))),0))))))))</f>
        <v>0</v>
      </c>
      <c r="Q61" s="178">
        <f>IF(Q34=0,0,IF(AND($D61="F-SMRA",Q34=0),0,IF(AND($D61="F-SMRB",Q34=0),0,IF(AND($D61="F-SMRC",Q34=0),0,IF($D61=Worksheet!$A$68,Worksheet!H319,IF($D61=Worksheet!$A$69,Worksheet!H319,IF($D61=Worksheet!$A$70,Worksheet!H319,ROUND((Request!Q34/Worksheet!$F$5*Worksheet!$F$9*(IF(Request!$D61=Worksheet!$A$47,Worksheet!H$47,IF(Request!$D61=Worksheet!$A$48,Worksheet!H$48,IF(Request!$D61=Worksheet!$A$49,Worksheet!H$49,IF(Request!$D61=Worksheet!$A$50,Worksheet!H$50,IF(Request!$D61=Worksheet!$A$51,Worksheet!H$51,IF(Request!$D61=Worksheet!$A$52,Worksheet!H$52,IF(Request!$D61=Worksheet!$A$53,Worksheet!H$53,IF(Request!$D61=Worksheet!$A$54,Worksheet!H$54,IF(Request!$D61=Worksheet!$A$55,Worksheet!H$55))))))))))),0)+ROUND(Q34/Worksheet!$F$5*Worksheet!$F$10*(IF(Request!$D61=Worksheet!$A$47,Worksheet!I$47,IF(Request!$D61=Worksheet!$A$48,Worksheet!I$48,IF(Request!$D61=Worksheet!$A$49,Worksheet!I$49,IF(Request!$D61=Worksheet!$A$50,Worksheet!I$50,IF(Request!$D61=Worksheet!$A$51,Worksheet!I$51,IF(Request!$D61=Worksheet!$A$52,Worksheet!I$52,IF(Request!$D61=Worksheet!$A$53,Worksheet!I$53,IF(Request!$D61=Worksheet!$A$54,Worksheet!I$54,IF(Request!$D61=Worksheet!$A$55,Worksheet!I$55)))))))))),0))))))))</f>
        <v>0</v>
      </c>
      <c r="R61" s="178">
        <f>IF(R34=0,0,IF(AND($D61="F-SMRA",R34=0),0,IF(AND($D61="F-SMRB",R34=0),0,IF(AND($D61="F-SMRC",R34=0),0,IF($D61=Worksheet!$A$68,Worksheet!J319,IF($D61=Worksheet!$A$69,Worksheet!J319,IF($D61=Worksheet!$A$70,Worksheet!J319,ROUND((Request!R34/Worksheet!$G$5*Worksheet!$G$9*(IF(Request!$D61=Worksheet!$A$47,Worksheet!J$47,IF(Request!$D61=Worksheet!$A$48,Worksheet!J$48,IF(Request!$D61=Worksheet!$A$49,Worksheet!J$49,IF(Request!$D61=Worksheet!$A$50,Worksheet!J$50,IF(Request!$D61=Worksheet!$A$51,Worksheet!J$51,IF(Request!$D61=Worksheet!$A$52,Worksheet!J$52,IF(Request!$D61=Worksheet!$A$53,Worksheet!J$53,IF(Request!$D61=Worksheet!$A$54,Worksheet!J$54,IF(Request!$D61=Worksheet!$A$55,Worksheet!J$55))))))))))),0)+ROUND(R34/Worksheet!$G$5*Worksheet!$G$10*(IF(Request!$D61=Worksheet!$A$47,Worksheet!K$47,IF(Request!$D61=Worksheet!$A$48,Worksheet!K$48,IF(Request!$D61=Worksheet!$A$49,Worksheet!K$49,IF(Request!$D61=Worksheet!$A$50,Worksheet!K$50,IF(Request!$D61=Worksheet!$A$51,Worksheet!K$51,IF(Request!$D61=Worksheet!$A$52,Worksheet!K$52,IF(Request!$D61=Worksheet!$A$53,Worksheet!K$53,IF(Request!$D61=Worksheet!$A$54,Worksheet!K$54,IF(Request!$D61=Worksheet!$A$55,Worksheet!K$55)))))))))),0))))))))</f>
        <v>0</v>
      </c>
      <c r="S61" s="142">
        <f t="shared" si="7"/>
        <v>0</v>
      </c>
      <c r="T61" s="188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</row>
    <row r="62" spans="1:41" hidden="1" x14ac:dyDescent="0.15">
      <c r="A62" s="91">
        <v>20</v>
      </c>
      <c r="B62" s="276">
        <f t="shared" si="8"/>
        <v>0</v>
      </c>
      <c r="C62" s="277"/>
      <c r="D62" s="154" t="s">
        <v>51</v>
      </c>
      <c r="E62" s="172" t="str">
        <f>IF($D62=Worksheet!$A$59,Worksheet!B$59,IF($D62=Worksheet!$A$60,Worksheet!B$60,IF($D62=Worksheet!$A$61,Worksheet!B$61,IF($D62=Worksheet!$A$62,Worksheet!B$62,IF($D62=Worksheet!$A$63,Worksheet!B$63,IF($D62=Worksheet!$A$64,Worksheet!B$64,IF($D62=Worksheet!$A$65,Worksheet!B$65,IF($D62=Worksheet!$A$66,Worksheet!B$66,IF($D62=Worksheet!$A$67,Worksheet!B$67,IF($D62=Worksheet!$A$68,Worksheet!B294,IF($D62=Worksheet!$A$69,Worksheet!B294,IF($D62=Worksheet!$A$70,Worksheet!B294,IF($D62=Worksheet!$A$71,"")))))))))))))</f>
        <v/>
      </c>
      <c r="F62" s="271" t="str">
        <f>IF($D62=Worksheet!$A$59,Worksheet!C$59,IF($D62=Worksheet!$A$60,Worksheet!C$60,IF($D62=Worksheet!$A$61,Worksheet!C$61,IF($D62=Worksheet!$A$62,Worksheet!C$62,IF($D62=Worksheet!$A$63,Worksheet!C$63,IF($D62=Worksheet!$A$64,Worksheet!C$64,IF($D62=Worksheet!$A$65,Worksheet!C$65,IF($D62=Worksheet!$A$66,Worksheet!C$66,IF($D62=Worksheet!$A$67,Worksheet!C$67,IF($D62=Worksheet!$A$68,Worksheet!D294,IF($D62=Worksheet!$A$69,Worksheet!D294,IF($D62=Worksheet!$A$70,Worksheet!D294,IF($D62=Worksheet!$A$71,"")))))))))))))</f>
        <v/>
      </c>
      <c r="G62" s="272"/>
      <c r="H62" s="244" t="str">
        <f>IF($D62=Worksheet!$A$59,Worksheet!D$59,IF($D62=Worksheet!$A$60,Worksheet!D$60,IF($D62=Worksheet!$A$61,Worksheet!D$61,IF($D62=Worksheet!$A$62,Worksheet!D$62,IF($D62=Worksheet!$A$63,Worksheet!D$63,IF($D62=Worksheet!$A$64,Worksheet!D$64,IF($D62=Worksheet!$A$65,Worksheet!D$65,IF($D62=Worksheet!$A$66,Worksheet!D$66,IF($D62=Worksheet!$A$67,Worksheet!D$67,IF($D62=Worksheet!$A$68,Worksheet!F294,IF($D62=Worksheet!$A$69,Worksheet!F294,IF($D62=Worksheet!$A$70,Worksheet!F294,IF($D62=Worksheet!$A$71,"")))))))))))))</f>
        <v/>
      </c>
      <c r="I62" s="245"/>
      <c r="J62" s="244" t="str">
        <f>IF($D62=Worksheet!$A$59,Worksheet!E$59,IF($D62=Worksheet!$A$60,Worksheet!E$60,IF($D62=Worksheet!$A$61,Worksheet!E$61,IF($D62=Worksheet!$A$62,Worksheet!E$62,IF($D62=Worksheet!$A$63,Worksheet!E$63,IF($D62=Worksheet!$A$64,Worksheet!E$64,IF($D62=Worksheet!$A$65,Worksheet!E$65,IF($D62=Worksheet!$A$66,Worksheet!E$66,IF($D62=Worksheet!$A$67,Worksheet!E$67,IF($D62=Worksheet!$A$68,Worksheet!H294,IF($D62=Worksheet!$A$69,Worksheet!H294,IF($D62=Worksheet!$A$70,Worksheet!H294,IF($D62=Worksheet!$A$71,"")))))))))))))</f>
        <v/>
      </c>
      <c r="K62" s="245"/>
      <c r="L62" s="244" t="str">
        <f>IF($D62=Worksheet!$A$59,Worksheet!F$59,IF($D62=Worksheet!$A$60,Worksheet!F$60,IF($D62=Worksheet!$A$61,Worksheet!F$61,IF($D62=Worksheet!$A$62,Worksheet!F$62,IF($D62=Worksheet!$A$63,Worksheet!F$63,IF($D62=Worksheet!$A$64,Worksheet!F$64,IF($D62=Worksheet!$A$65,Worksheet!F$65,IF($D62=Worksheet!$A$66,Worksheet!F$66,IF($D62=Worksheet!$A$67,Worksheet!F$67,IF($D62=Worksheet!$A$68,Worksheet!J294,IF($D62=Worksheet!$A$69,Worksheet!J294,IF($D62=Worksheet!$A$70,Worksheet!J294,IF($D62=Worksheet!$A$71,"")))))))))))))</f>
        <v/>
      </c>
      <c r="M62" s="245"/>
      <c r="N62" s="178">
        <f>IF(N35=0,0,IF(AND($D62="F-SMRA",N35=0),0,IF(AND($D62="F-SMRB",N35=0),0,IF(AND($D62="F-SMRC",N35=0),0,IF($D62=Worksheet!$A$68,Worksheet!B320,IF($D62=Worksheet!$A$69,Worksheet!B320,IF($D62=Worksheet!$A$70,Worksheet!B320,ROUND((Request!N35/Worksheet!$C$5*Worksheet!$C$9*(IF(Request!$D62=Worksheet!$A$47,Worksheet!B$47,IF(Request!$D62=Worksheet!$A$48,Worksheet!B$48,IF(Request!$D62=Worksheet!$A$49,Worksheet!B$49,IF(Request!$D62=Worksheet!$A$50,Worksheet!B$50,IF(Request!$D62=Worksheet!$A$51,Worksheet!B$51,IF(Request!$D62=Worksheet!$A$52,Worksheet!B$52,IF(Request!$D62=Worksheet!$A$53,Worksheet!B$53,IF(Request!$D62=Worksheet!$A$54,Worksheet!B$54,IF(Request!$D62=Worksheet!$A$55,Worksheet!B$55))))))))))),0)+ROUND(N35/Worksheet!$C$5*Worksheet!$C$10*(IF(Request!$D62=Worksheet!$A$47,Worksheet!C$47,IF(Request!$D62=Worksheet!$A$48,Worksheet!C$48,IF(Request!$D62=Worksheet!$A$49,Worksheet!C$49,IF(Request!$D62=Worksheet!$A$50,Worksheet!C$50,IF(Request!$D62=Worksheet!$A$51,Worksheet!C$51,IF(Request!$D62=Worksheet!$A$52,Worksheet!C$52,IF(Request!$D62=Worksheet!$A$53,Worksheet!C$53,IF(Request!$D62=Worksheet!$A$54,Worksheet!C$54,IF(Request!$D62=Worksheet!$A$55,Worksheet!C$55)))))))))),0))))))))</f>
        <v>0</v>
      </c>
      <c r="O62" s="178">
        <f>IF(O35=0,0,IF(AND($D62="F-SMRA",O35=0),0,IF(AND($D62="F-SMRB",O35=0),0,IF(AND($D62="F-SMRC",O35=0),0,IF($D62=Worksheet!$A$68,Worksheet!D320,IF($D62=Worksheet!$A$69,Worksheet!D320,IF($D62=Worksheet!$A$70,Worksheet!D320,ROUND((Request!O35/Worksheet!$D$5*Worksheet!$D$9*(IF(Request!$D62=Worksheet!$A$47,Worksheet!D$47,IF(Request!$D62=Worksheet!$A$48,Worksheet!D$48,IF(Request!$D62=Worksheet!$A$49,Worksheet!D$49,IF(Request!$D62=Worksheet!$A$50,Worksheet!D$50,IF(Request!$D62=Worksheet!$A$51,Worksheet!D$51,IF(Request!$D62=Worksheet!$A$52,Worksheet!D$52,IF(Request!$D62=Worksheet!$A$53,Worksheet!D$53,IF(Request!$D62=Worksheet!$A$54,Worksheet!D$54,IF(Request!$D62=Worksheet!$A$55,Worksheet!D$55))))))))))),0)+ROUND(O35/Worksheet!$D$5*Worksheet!$D$10*(IF(Request!$D62=Worksheet!$A$47,Worksheet!E$47,IF(Request!$D62=Worksheet!$A$48,Worksheet!E$48,IF(Request!$D62=Worksheet!$A$49,Worksheet!E$49,IF(Request!$D62=Worksheet!$A$50,Worksheet!E$50,IF(Request!$D62=Worksheet!$A$51,Worksheet!E$51,IF(Request!$D62=Worksheet!$A$52,Worksheet!E$52,IF(Request!$D62=Worksheet!$A$53,Worksheet!E$53,IF(Request!$D62=Worksheet!$A$54,Worksheet!E$54,IF(Request!$D62=Worksheet!$A$55,Worksheet!E$55)))))))))),0))))))))</f>
        <v>0</v>
      </c>
      <c r="P62" s="178">
        <f>IF(P35=0,0,IF(AND($D62="F-SMRA",P35=0),0,IF(AND($D62="F-SMRB",P35=0),0,IF(AND($D62="F-SMRC",P35=0),0,IF($D62=Worksheet!$A$68,Worksheet!F320,IF($D62=Worksheet!$A$69,Worksheet!F320,IF($D62=Worksheet!$A$70,Worksheet!F320,ROUND((Request!P35/Worksheet!$E$5*Worksheet!$E$9*(IF(Request!$D62=Worksheet!$A$47,Worksheet!F$47,IF(Request!$D62=Worksheet!$A$48,Worksheet!F$48,IF(Request!$D62=Worksheet!$A$49,Worksheet!F$49,IF(Request!$D62=Worksheet!$A$50,Worksheet!F$50,IF(Request!$D62=Worksheet!$A$51,Worksheet!F$51,IF(Request!$D62=Worksheet!$A$52,Worksheet!F$52,IF(Request!$D62=Worksheet!$A$53,Worksheet!F$53,IF(Request!$D62=Worksheet!$A$54,Worksheet!F$54,IF(Request!$D62=Worksheet!$A$55,Worksheet!F$55))))))))))),0)+ROUND(P35/Worksheet!$E$5*Worksheet!$E$10*(IF(Request!$D62=Worksheet!$A$47,Worksheet!G$47,IF(Request!$D62=Worksheet!$A$48,Worksheet!G$48,IF(Request!$D62=Worksheet!$A$49,Worksheet!G$49,IF(Request!$D62=Worksheet!$A$50,Worksheet!G$50,IF(Request!$D62=Worksheet!$A$51,Worksheet!G$51,IF(Request!$D62=Worksheet!$A$52,Worksheet!G$52,IF(Request!$D62=Worksheet!$A$53,Worksheet!G$53,IF(Request!$D62=Worksheet!$A$54,Worksheet!G$54,IF(Request!$D62=Worksheet!$A$55,Worksheet!G$55)))))))))),0))))))))</f>
        <v>0</v>
      </c>
      <c r="Q62" s="178">
        <f>IF(Q35=0,0,IF(AND($D62="F-SMRA",Q35=0),0,IF(AND($D62="F-SMRB",Q35=0),0,IF(AND($D62="F-SMRC",Q35=0),0,IF($D62=Worksheet!$A$68,Worksheet!H320,IF($D62=Worksheet!$A$69,Worksheet!H320,IF($D62=Worksheet!$A$70,Worksheet!H320,ROUND((Request!Q35/Worksheet!$F$5*Worksheet!$F$9*(IF(Request!$D62=Worksheet!$A$47,Worksheet!H$47,IF(Request!$D62=Worksheet!$A$48,Worksheet!H$48,IF(Request!$D62=Worksheet!$A$49,Worksheet!H$49,IF(Request!$D62=Worksheet!$A$50,Worksheet!H$50,IF(Request!$D62=Worksheet!$A$51,Worksheet!H$51,IF(Request!$D62=Worksheet!$A$52,Worksheet!H$52,IF(Request!$D62=Worksheet!$A$53,Worksheet!H$53,IF(Request!$D62=Worksheet!$A$54,Worksheet!H$54,IF(Request!$D62=Worksheet!$A$55,Worksheet!H$55))))))))))),0)+ROUND(Q35/Worksheet!$F$5*Worksheet!$F$10*(IF(Request!$D62=Worksheet!$A$47,Worksheet!I$47,IF(Request!$D62=Worksheet!$A$48,Worksheet!I$48,IF(Request!$D62=Worksheet!$A$49,Worksheet!I$49,IF(Request!$D62=Worksheet!$A$50,Worksheet!I$50,IF(Request!$D62=Worksheet!$A$51,Worksheet!I$51,IF(Request!$D62=Worksheet!$A$52,Worksheet!I$52,IF(Request!$D62=Worksheet!$A$53,Worksheet!I$53,IF(Request!$D62=Worksheet!$A$54,Worksheet!I$54,IF(Request!$D62=Worksheet!$A$55,Worksheet!I$55)))))))))),0))))))))</f>
        <v>0</v>
      </c>
      <c r="R62" s="178">
        <f>IF(R35=0,0,IF(AND($D62="F-SMRA",R35=0),0,IF(AND($D62="F-SMRB",R35=0),0,IF(AND($D62="F-SMRC",R35=0),0,IF($D62=Worksheet!$A$68,Worksheet!J320,IF($D62=Worksheet!$A$69,Worksheet!J320,IF($D62=Worksheet!$A$70,Worksheet!J320,ROUND((Request!R35/Worksheet!$G$5*Worksheet!$G$9*(IF(Request!$D62=Worksheet!$A$47,Worksheet!J$47,IF(Request!$D62=Worksheet!$A$48,Worksheet!J$48,IF(Request!$D62=Worksheet!$A$49,Worksheet!J$49,IF(Request!$D62=Worksheet!$A$50,Worksheet!J$50,IF(Request!$D62=Worksheet!$A$51,Worksheet!J$51,IF(Request!$D62=Worksheet!$A$52,Worksheet!J$52,IF(Request!$D62=Worksheet!$A$53,Worksheet!J$53,IF(Request!$D62=Worksheet!$A$54,Worksheet!J$54,IF(Request!$D62=Worksheet!$A$55,Worksheet!J$55))))))))))),0)+ROUND(R35/Worksheet!$G$5*Worksheet!$G$10*(IF(Request!$D62=Worksheet!$A$47,Worksheet!K$47,IF(Request!$D62=Worksheet!$A$48,Worksheet!K$48,IF(Request!$D62=Worksheet!$A$49,Worksheet!K$49,IF(Request!$D62=Worksheet!$A$50,Worksheet!K$50,IF(Request!$D62=Worksheet!$A$51,Worksheet!K$51,IF(Request!$D62=Worksheet!$A$52,Worksheet!K$52,IF(Request!$D62=Worksheet!$A$53,Worksheet!K$53,IF(Request!$D62=Worksheet!$A$54,Worksheet!K$54,IF(Request!$D62=Worksheet!$A$55,Worksheet!K$55)))))))))),0))))))))</f>
        <v>0</v>
      </c>
      <c r="S62" s="142">
        <f t="shared" si="7"/>
        <v>0</v>
      </c>
      <c r="T62" s="188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</row>
    <row r="63" spans="1:41" hidden="1" x14ac:dyDescent="0.15">
      <c r="A63" s="91">
        <v>21</v>
      </c>
      <c r="B63" s="276">
        <f t="shared" si="8"/>
        <v>0</v>
      </c>
      <c r="C63" s="277"/>
      <c r="D63" s="154" t="s">
        <v>51</v>
      </c>
      <c r="E63" s="172" t="str">
        <f>IF($D63=Worksheet!$A$59,Worksheet!B$59,IF($D63=Worksheet!$A$60,Worksheet!B$60,IF($D63=Worksheet!$A$61,Worksheet!B$61,IF($D63=Worksheet!$A$62,Worksheet!B$62,IF($D63=Worksheet!$A$63,Worksheet!B$63,IF($D63=Worksheet!$A$64,Worksheet!B$64,IF($D63=Worksheet!$A$65,Worksheet!B$65,IF($D63=Worksheet!$A$66,Worksheet!B$66,IF($D63=Worksheet!$A$67,Worksheet!B$67,IF($D63=Worksheet!$A$68,Worksheet!B295,IF($D63=Worksheet!$A$69,Worksheet!B295,IF($D63=Worksheet!$A$70,Worksheet!B295,IF($D63=Worksheet!$A$71,"")))))))))))))</f>
        <v/>
      </c>
      <c r="F63" s="271" t="str">
        <f>IF($D63=Worksheet!$A$59,Worksheet!C$59,IF($D63=Worksheet!$A$60,Worksheet!C$60,IF($D63=Worksheet!$A$61,Worksheet!C$61,IF($D63=Worksheet!$A$62,Worksheet!C$62,IF($D63=Worksheet!$A$63,Worksheet!C$63,IF($D63=Worksheet!$A$64,Worksheet!C$64,IF($D63=Worksheet!$A$65,Worksheet!C$65,IF($D63=Worksheet!$A$66,Worksheet!C$66,IF($D63=Worksheet!$A$67,Worksheet!C$67,IF($D63=Worksheet!$A$68,Worksheet!D295,IF($D63=Worksheet!$A$69,Worksheet!D295,IF($D63=Worksheet!$A$70,Worksheet!D295,IF($D63=Worksheet!$A$71,"")))))))))))))</f>
        <v/>
      </c>
      <c r="G63" s="272"/>
      <c r="H63" s="244" t="str">
        <f>IF($D63=Worksheet!$A$59,Worksheet!D$59,IF($D63=Worksheet!$A$60,Worksheet!D$60,IF($D63=Worksheet!$A$61,Worksheet!D$61,IF($D63=Worksheet!$A$62,Worksheet!D$62,IF($D63=Worksheet!$A$63,Worksheet!D$63,IF($D63=Worksheet!$A$64,Worksheet!D$64,IF($D63=Worksheet!$A$65,Worksheet!D$65,IF($D63=Worksheet!$A$66,Worksheet!D$66,IF($D63=Worksheet!$A$67,Worksheet!D$67,IF($D63=Worksheet!$A$68,Worksheet!F295,IF($D63=Worksheet!$A$69,Worksheet!F295,IF($D63=Worksheet!$A$70,Worksheet!F295,IF($D63=Worksheet!$A$71,"")))))))))))))</f>
        <v/>
      </c>
      <c r="I63" s="245"/>
      <c r="J63" s="244" t="str">
        <f>IF($D63=Worksheet!$A$59,Worksheet!E$59,IF($D63=Worksheet!$A$60,Worksheet!E$60,IF($D63=Worksheet!$A$61,Worksheet!E$61,IF($D63=Worksheet!$A$62,Worksheet!E$62,IF($D63=Worksheet!$A$63,Worksheet!E$63,IF($D63=Worksheet!$A$64,Worksheet!E$64,IF($D63=Worksheet!$A$65,Worksheet!E$65,IF($D63=Worksheet!$A$66,Worksheet!E$66,IF($D63=Worksheet!$A$67,Worksheet!E$67,IF($D63=Worksheet!$A$68,Worksheet!H295,IF($D63=Worksheet!$A$69,Worksheet!H295,IF($D63=Worksheet!$A$70,Worksheet!H295,IF($D63=Worksheet!$A$71,"")))))))))))))</f>
        <v/>
      </c>
      <c r="K63" s="245"/>
      <c r="L63" s="244" t="str">
        <f>IF($D63=Worksheet!$A$59,Worksheet!F$59,IF($D63=Worksheet!$A$60,Worksheet!F$60,IF($D63=Worksheet!$A$61,Worksheet!F$61,IF($D63=Worksheet!$A$62,Worksheet!F$62,IF($D63=Worksheet!$A$63,Worksheet!F$63,IF($D63=Worksheet!$A$64,Worksheet!F$64,IF($D63=Worksheet!$A$65,Worksheet!F$65,IF($D63=Worksheet!$A$66,Worksheet!F$66,IF($D63=Worksheet!$A$67,Worksheet!F$67,IF($D63=Worksheet!$A$68,Worksheet!J295,IF($D63=Worksheet!$A$69,Worksheet!J295,IF($D63=Worksheet!$A$70,Worksheet!J295,IF($D63=Worksheet!$A$71,"")))))))))))))</f>
        <v/>
      </c>
      <c r="M63" s="245"/>
      <c r="N63" s="178">
        <f>IF(N36=0,0,IF(AND($D63="F-SMRA",N36=0),0,IF(AND($D63="F-SMRB",N36=0),0,IF(AND($D63="F-SMRC",N36=0),0,IF($D63=Worksheet!$A$68,Worksheet!B321,IF($D63=Worksheet!$A$69,Worksheet!B321,IF($D63=Worksheet!$A$70,Worksheet!B321,ROUND((Request!N36/Worksheet!$C$5*Worksheet!$C$9*(IF(Request!$D63=Worksheet!$A$47,Worksheet!B$47,IF(Request!$D63=Worksheet!$A$48,Worksheet!B$48,IF(Request!$D63=Worksheet!$A$49,Worksheet!B$49,IF(Request!$D63=Worksheet!$A$50,Worksheet!B$50,IF(Request!$D63=Worksheet!$A$51,Worksheet!B$51,IF(Request!$D63=Worksheet!$A$52,Worksheet!B$52,IF(Request!$D63=Worksheet!$A$53,Worksheet!B$53,IF(Request!$D63=Worksheet!$A$54,Worksheet!B$54,IF(Request!$D63=Worksheet!$A$55,Worksheet!B$55))))))))))),0)+ROUND(N36/Worksheet!$C$5*Worksheet!$C$10*(IF(Request!$D63=Worksheet!$A$47,Worksheet!C$47,IF(Request!$D63=Worksheet!$A$48,Worksheet!C$48,IF(Request!$D63=Worksheet!$A$49,Worksheet!C$49,IF(Request!$D63=Worksheet!$A$50,Worksheet!C$50,IF(Request!$D63=Worksheet!$A$51,Worksheet!C$51,IF(Request!$D63=Worksheet!$A$52,Worksheet!C$52,IF(Request!$D63=Worksheet!$A$53,Worksheet!C$53,IF(Request!$D63=Worksheet!$A$54,Worksheet!C$54,IF(Request!$D63=Worksheet!$A$55,Worksheet!C$55)))))))))),0))))))))</f>
        <v>0</v>
      </c>
      <c r="O63" s="178">
        <f>IF(O36=0,0,IF(AND($D63="F-SMRA",O36=0),0,IF(AND($D63="F-SMRB",O36=0),0,IF(AND($D63="F-SMRC",O36=0),0,IF($D63=Worksheet!$A$68,Worksheet!D321,IF($D63=Worksheet!$A$69,Worksheet!D321,IF($D63=Worksheet!$A$70,Worksheet!D321,ROUND((Request!O36/Worksheet!$D$5*Worksheet!$D$9*(IF(Request!$D63=Worksheet!$A$47,Worksheet!D$47,IF(Request!$D63=Worksheet!$A$48,Worksheet!D$48,IF(Request!$D63=Worksheet!$A$49,Worksheet!D$49,IF(Request!$D63=Worksheet!$A$50,Worksheet!D$50,IF(Request!$D63=Worksheet!$A$51,Worksheet!D$51,IF(Request!$D63=Worksheet!$A$52,Worksheet!D$52,IF(Request!$D63=Worksheet!$A$53,Worksheet!D$53,IF(Request!$D63=Worksheet!$A$54,Worksheet!D$54,IF(Request!$D63=Worksheet!$A$55,Worksheet!D$55))))))))))),0)+ROUND(O36/Worksheet!$D$5*Worksheet!$D$10*(IF(Request!$D63=Worksheet!$A$47,Worksheet!E$47,IF(Request!$D63=Worksheet!$A$48,Worksheet!E$48,IF(Request!$D63=Worksheet!$A$49,Worksheet!E$49,IF(Request!$D63=Worksheet!$A$50,Worksheet!E$50,IF(Request!$D63=Worksheet!$A$51,Worksheet!E$51,IF(Request!$D63=Worksheet!$A$52,Worksheet!E$52,IF(Request!$D63=Worksheet!$A$53,Worksheet!E$53,IF(Request!$D63=Worksheet!$A$54,Worksheet!E$54,IF(Request!$D63=Worksheet!$A$55,Worksheet!E$55)))))))))),0))))))))</f>
        <v>0</v>
      </c>
      <c r="P63" s="178">
        <f>IF(P36=0,0,IF(AND($D63="F-SMRA",P36=0),0,IF(AND($D63="F-SMRB",P36=0),0,IF(AND($D63="F-SMRC",P36=0),0,IF($D63=Worksheet!$A$68,Worksheet!F321,IF($D63=Worksheet!$A$69,Worksheet!F321,IF($D63=Worksheet!$A$70,Worksheet!F321,ROUND((Request!P36/Worksheet!$E$5*Worksheet!$E$9*(IF(Request!$D63=Worksheet!$A$47,Worksheet!F$47,IF(Request!$D63=Worksheet!$A$48,Worksheet!F$48,IF(Request!$D63=Worksheet!$A$49,Worksheet!F$49,IF(Request!$D63=Worksheet!$A$50,Worksheet!F$50,IF(Request!$D63=Worksheet!$A$51,Worksheet!F$51,IF(Request!$D63=Worksheet!$A$52,Worksheet!F$52,IF(Request!$D63=Worksheet!$A$53,Worksheet!F$53,IF(Request!$D63=Worksheet!$A$54,Worksheet!F$54,IF(Request!$D63=Worksheet!$A$55,Worksheet!F$55))))))))))),0)+ROUND(P36/Worksheet!$E$5*Worksheet!$E$10*(IF(Request!$D63=Worksheet!$A$47,Worksheet!G$47,IF(Request!$D63=Worksheet!$A$48,Worksheet!G$48,IF(Request!$D63=Worksheet!$A$49,Worksheet!G$49,IF(Request!$D63=Worksheet!$A$50,Worksheet!G$50,IF(Request!$D63=Worksheet!$A$51,Worksheet!G$51,IF(Request!$D63=Worksheet!$A$52,Worksheet!G$52,IF(Request!$D63=Worksheet!$A$53,Worksheet!G$53,IF(Request!$D63=Worksheet!$A$54,Worksheet!G$54,IF(Request!$D63=Worksheet!$A$55,Worksheet!G$55)))))))))),0))))))))</f>
        <v>0</v>
      </c>
      <c r="Q63" s="178">
        <f>IF(Q36=0,0,IF(AND($D63="F-SMRA",Q36=0),0,IF(AND($D63="F-SMRB",Q36=0),0,IF(AND($D63="F-SMRC",Q36=0),0,IF($D63=Worksheet!$A$68,Worksheet!H321,IF($D63=Worksheet!$A$69,Worksheet!H321,IF($D63=Worksheet!$A$70,Worksheet!H321,ROUND((Request!Q36/Worksheet!$F$5*Worksheet!$F$9*(IF(Request!$D63=Worksheet!$A$47,Worksheet!H$47,IF(Request!$D63=Worksheet!$A$48,Worksheet!H$48,IF(Request!$D63=Worksheet!$A$49,Worksheet!H$49,IF(Request!$D63=Worksheet!$A$50,Worksheet!H$50,IF(Request!$D63=Worksheet!$A$51,Worksheet!H$51,IF(Request!$D63=Worksheet!$A$52,Worksheet!H$52,IF(Request!$D63=Worksheet!$A$53,Worksheet!H$53,IF(Request!$D63=Worksheet!$A$54,Worksheet!H$54,IF(Request!$D63=Worksheet!$A$55,Worksheet!H$55))))))))))),0)+ROUND(Q36/Worksheet!$F$5*Worksheet!$F$10*(IF(Request!$D63=Worksheet!$A$47,Worksheet!I$47,IF(Request!$D63=Worksheet!$A$48,Worksheet!I$48,IF(Request!$D63=Worksheet!$A$49,Worksheet!I$49,IF(Request!$D63=Worksheet!$A$50,Worksheet!I$50,IF(Request!$D63=Worksheet!$A$51,Worksheet!I$51,IF(Request!$D63=Worksheet!$A$52,Worksheet!I$52,IF(Request!$D63=Worksheet!$A$53,Worksheet!I$53,IF(Request!$D63=Worksheet!$A$54,Worksheet!I$54,IF(Request!$D63=Worksheet!$A$55,Worksheet!I$55)))))))))),0))))))))</f>
        <v>0</v>
      </c>
      <c r="R63" s="178">
        <f>IF(R36=0,0,IF(AND($D63="F-SMRA",R36=0),0,IF(AND($D63="F-SMRB",R36=0),0,IF(AND($D63="F-SMRC",R36=0),0,IF($D63=Worksheet!$A$68,Worksheet!J321,IF($D63=Worksheet!$A$69,Worksheet!J321,IF($D63=Worksheet!$A$70,Worksheet!J321,ROUND((Request!R36/Worksheet!$G$5*Worksheet!$G$9*(IF(Request!$D63=Worksheet!$A$47,Worksheet!J$47,IF(Request!$D63=Worksheet!$A$48,Worksheet!J$48,IF(Request!$D63=Worksheet!$A$49,Worksheet!J$49,IF(Request!$D63=Worksheet!$A$50,Worksheet!J$50,IF(Request!$D63=Worksheet!$A$51,Worksheet!J$51,IF(Request!$D63=Worksheet!$A$52,Worksheet!J$52,IF(Request!$D63=Worksheet!$A$53,Worksheet!J$53,IF(Request!$D63=Worksheet!$A$54,Worksheet!J$54,IF(Request!$D63=Worksheet!$A$55,Worksheet!J$55))))))))))),0)+ROUND(R36/Worksheet!$G$5*Worksheet!$G$10*(IF(Request!$D63=Worksheet!$A$47,Worksheet!K$47,IF(Request!$D63=Worksheet!$A$48,Worksheet!K$48,IF(Request!$D63=Worksheet!$A$49,Worksheet!K$49,IF(Request!$D63=Worksheet!$A$50,Worksheet!K$50,IF(Request!$D63=Worksheet!$A$51,Worksheet!K$51,IF(Request!$D63=Worksheet!$A$52,Worksheet!K$52,IF(Request!$D63=Worksheet!$A$53,Worksheet!K$53,IF(Request!$D63=Worksheet!$A$54,Worksheet!K$54,IF(Request!$D63=Worksheet!$A$55,Worksheet!K$55)))))))))),0))))))))</f>
        <v>0</v>
      </c>
      <c r="S63" s="142">
        <f t="shared" si="7"/>
        <v>0</v>
      </c>
      <c r="T63" s="188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</row>
    <row r="64" spans="1:41" hidden="1" x14ac:dyDescent="0.15">
      <c r="A64" s="91">
        <v>22</v>
      </c>
      <c r="B64" s="276">
        <f t="shared" si="8"/>
        <v>0</v>
      </c>
      <c r="C64" s="277"/>
      <c r="D64" s="154" t="s">
        <v>51</v>
      </c>
      <c r="E64" s="172" t="str">
        <f>IF($D64=Worksheet!$A$59,Worksheet!B$59,IF($D64=Worksheet!$A$60,Worksheet!B$60,IF($D64=Worksheet!$A$61,Worksheet!B$61,IF($D64=Worksheet!$A$62,Worksheet!B$62,IF($D64=Worksheet!$A$63,Worksheet!B$63,IF($D64=Worksheet!$A$64,Worksheet!B$64,IF($D64=Worksheet!$A$65,Worksheet!B$65,IF($D64=Worksheet!$A$66,Worksheet!B$66,IF($D64=Worksheet!$A$67,Worksheet!B$67,IF($D64=Worksheet!$A$68,Worksheet!B296,IF($D64=Worksheet!$A$69,Worksheet!B296,IF($D64=Worksheet!$A$70,Worksheet!B296,IF($D64=Worksheet!$A$71,"")))))))))))))</f>
        <v/>
      </c>
      <c r="F64" s="271" t="str">
        <f>IF($D64=Worksheet!$A$59,Worksheet!C$59,IF($D64=Worksheet!$A$60,Worksheet!C$60,IF($D64=Worksheet!$A$61,Worksheet!C$61,IF($D64=Worksheet!$A$62,Worksheet!C$62,IF($D64=Worksheet!$A$63,Worksheet!C$63,IF($D64=Worksheet!$A$64,Worksheet!C$64,IF($D64=Worksheet!$A$65,Worksheet!C$65,IF($D64=Worksheet!$A$66,Worksheet!C$66,IF($D64=Worksheet!$A$67,Worksheet!C$67,IF($D64=Worksheet!$A$68,Worksheet!D296,IF($D64=Worksheet!$A$69,Worksheet!D296,IF($D64=Worksheet!$A$70,Worksheet!D296,IF($D64=Worksheet!$A$71,"")))))))))))))</f>
        <v/>
      </c>
      <c r="G64" s="272"/>
      <c r="H64" s="244" t="str">
        <f>IF($D64=Worksheet!$A$59,Worksheet!D$59,IF($D64=Worksheet!$A$60,Worksheet!D$60,IF($D64=Worksheet!$A$61,Worksheet!D$61,IF($D64=Worksheet!$A$62,Worksheet!D$62,IF($D64=Worksheet!$A$63,Worksheet!D$63,IF($D64=Worksheet!$A$64,Worksheet!D$64,IF($D64=Worksheet!$A$65,Worksheet!D$65,IF($D64=Worksheet!$A$66,Worksheet!D$66,IF($D64=Worksheet!$A$67,Worksheet!D$67,IF($D64=Worksheet!$A$68,Worksheet!F296,IF($D64=Worksheet!$A$69,Worksheet!F296,IF($D64=Worksheet!$A$70,Worksheet!F296,IF($D64=Worksheet!$A$71,"")))))))))))))</f>
        <v/>
      </c>
      <c r="I64" s="245"/>
      <c r="J64" s="244" t="str">
        <f>IF($D64=Worksheet!$A$59,Worksheet!E$59,IF($D64=Worksheet!$A$60,Worksheet!E$60,IF($D64=Worksheet!$A$61,Worksheet!E$61,IF($D64=Worksheet!$A$62,Worksheet!E$62,IF($D64=Worksheet!$A$63,Worksheet!E$63,IF($D64=Worksheet!$A$64,Worksheet!E$64,IF($D64=Worksheet!$A$65,Worksheet!E$65,IF($D64=Worksheet!$A$66,Worksheet!E$66,IF($D64=Worksheet!$A$67,Worksheet!E$67,IF($D64=Worksheet!$A$68,Worksheet!H296,IF($D64=Worksheet!$A$69,Worksheet!H296,IF($D64=Worksheet!$A$70,Worksheet!H296,IF($D64=Worksheet!$A$71,"")))))))))))))</f>
        <v/>
      </c>
      <c r="K64" s="245"/>
      <c r="L64" s="244" t="str">
        <f>IF($D64=Worksheet!$A$59,Worksheet!F$59,IF($D64=Worksheet!$A$60,Worksheet!F$60,IF($D64=Worksheet!$A$61,Worksheet!F$61,IF($D64=Worksheet!$A$62,Worksheet!F$62,IF($D64=Worksheet!$A$63,Worksheet!F$63,IF($D64=Worksheet!$A$64,Worksheet!F$64,IF($D64=Worksheet!$A$65,Worksheet!F$65,IF($D64=Worksheet!$A$66,Worksheet!F$66,IF($D64=Worksheet!$A$67,Worksheet!F$67,IF($D64=Worksheet!$A$68,Worksheet!J296,IF($D64=Worksheet!$A$69,Worksheet!J296,IF($D64=Worksheet!$A$70,Worksheet!J296,IF($D64=Worksheet!$A$71,"")))))))))))))</f>
        <v/>
      </c>
      <c r="M64" s="245"/>
      <c r="N64" s="178">
        <f>IF(N37=0,0,IF(AND($D64="F-SMRA",N37=0),0,IF(AND($D64="F-SMRB",N37=0),0,IF(AND($D64="F-SMRC",N37=0),0,IF($D64=Worksheet!$A$68,Worksheet!B322,IF($D64=Worksheet!$A$69,Worksheet!B322,IF($D64=Worksheet!$A$70,Worksheet!B322,ROUND((Request!N37/Worksheet!$C$5*Worksheet!$C$9*(IF(Request!$D64=Worksheet!$A$47,Worksheet!B$47,IF(Request!$D64=Worksheet!$A$48,Worksheet!B$48,IF(Request!$D64=Worksheet!$A$49,Worksheet!B$49,IF(Request!$D64=Worksheet!$A$50,Worksheet!B$50,IF(Request!$D64=Worksheet!$A$51,Worksheet!B$51,IF(Request!$D64=Worksheet!$A$52,Worksheet!B$52,IF(Request!$D64=Worksheet!$A$53,Worksheet!B$53,IF(Request!$D64=Worksheet!$A$54,Worksheet!B$54,IF(Request!$D64=Worksheet!$A$55,Worksheet!B$55))))))))))),0)+ROUND(N37/Worksheet!$C$5*Worksheet!$C$10*(IF(Request!$D64=Worksheet!$A$47,Worksheet!C$47,IF(Request!$D64=Worksheet!$A$48,Worksheet!C$48,IF(Request!$D64=Worksheet!$A$49,Worksheet!C$49,IF(Request!$D64=Worksheet!$A$50,Worksheet!C$50,IF(Request!$D64=Worksheet!$A$51,Worksheet!C$51,IF(Request!$D64=Worksheet!$A$52,Worksheet!C$52,IF(Request!$D64=Worksheet!$A$53,Worksheet!C$53,IF(Request!$D64=Worksheet!$A$54,Worksheet!C$54,IF(Request!$D64=Worksheet!$A$55,Worksheet!C$55)))))))))),0))))))))</f>
        <v>0</v>
      </c>
      <c r="O64" s="178">
        <f>IF(O37=0,0,IF(AND($D64="F-SMRA",O37=0),0,IF(AND($D64="F-SMRB",O37=0),0,IF(AND($D64="F-SMRC",O37=0),0,IF($D64=Worksheet!$A$68,Worksheet!D322,IF($D64=Worksheet!$A$69,Worksheet!D322,IF($D64=Worksheet!$A$70,Worksheet!D322,ROUND((Request!O37/Worksheet!$D$5*Worksheet!$D$9*(IF(Request!$D64=Worksheet!$A$47,Worksheet!D$47,IF(Request!$D64=Worksheet!$A$48,Worksheet!D$48,IF(Request!$D64=Worksheet!$A$49,Worksheet!D$49,IF(Request!$D64=Worksheet!$A$50,Worksheet!D$50,IF(Request!$D64=Worksheet!$A$51,Worksheet!D$51,IF(Request!$D64=Worksheet!$A$52,Worksheet!D$52,IF(Request!$D64=Worksheet!$A$53,Worksheet!D$53,IF(Request!$D64=Worksheet!$A$54,Worksheet!D$54,IF(Request!$D64=Worksheet!$A$55,Worksheet!D$55))))))))))),0)+ROUND(O37/Worksheet!$D$5*Worksheet!$D$10*(IF(Request!$D64=Worksheet!$A$47,Worksheet!E$47,IF(Request!$D64=Worksheet!$A$48,Worksheet!E$48,IF(Request!$D64=Worksheet!$A$49,Worksheet!E$49,IF(Request!$D64=Worksheet!$A$50,Worksheet!E$50,IF(Request!$D64=Worksheet!$A$51,Worksheet!E$51,IF(Request!$D64=Worksheet!$A$52,Worksheet!E$52,IF(Request!$D64=Worksheet!$A$53,Worksheet!E$53,IF(Request!$D64=Worksheet!$A$54,Worksheet!E$54,IF(Request!$D64=Worksheet!$A$55,Worksheet!E$55)))))))))),0))))))))</f>
        <v>0</v>
      </c>
      <c r="P64" s="178">
        <f>IF(P37=0,0,IF(AND($D64="F-SMRA",P37=0),0,IF(AND($D64="F-SMRB",P37=0),0,IF(AND($D64="F-SMRC",P37=0),0,IF($D64=Worksheet!$A$68,Worksheet!F322,IF($D64=Worksheet!$A$69,Worksheet!F322,IF($D64=Worksheet!$A$70,Worksheet!F322,ROUND((Request!P37/Worksheet!$E$5*Worksheet!$E$9*(IF(Request!$D64=Worksheet!$A$47,Worksheet!F$47,IF(Request!$D64=Worksheet!$A$48,Worksheet!F$48,IF(Request!$D64=Worksheet!$A$49,Worksheet!F$49,IF(Request!$D64=Worksheet!$A$50,Worksheet!F$50,IF(Request!$D64=Worksheet!$A$51,Worksheet!F$51,IF(Request!$D64=Worksheet!$A$52,Worksheet!F$52,IF(Request!$D64=Worksheet!$A$53,Worksheet!F$53,IF(Request!$D64=Worksheet!$A$54,Worksheet!F$54,IF(Request!$D64=Worksheet!$A$55,Worksheet!F$55))))))))))),0)+ROUND(P37/Worksheet!$E$5*Worksheet!$E$10*(IF(Request!$D64=Worksheet!$A$47,Worksheet!G$47,IF(Request!$D64=Worksheet!$A$48,Worksheet!G$48,IF(Request!$D64=Worksheet!$A$49,Worksheet!G$49,IF(Request!$D64=Worksheet!$A$50,Worksheet!G$50,IF(Request!$D64=Worksheet!$A$51,Worksheet!G$51,IF(Request!$D64=Worksheet!$A$52,Worksheet!G$52,IF(Request!$D64=Worksheet!$A$53,Worksheet!G$53,IF(Request!$D64=Worksheet!$A$54,Worksheet!G$54,IF(Request!$D64=Worksheet!$A$55,Worksheet!G$55)))))))))),0))))))))</f>
        <v>0</v>
      </c>
      <c r="Q64" s="178">
        <f>IF(Q37=0,0,IF(AND($D64="F-SMRA",Q37=0),0,IF(AND($D64="F-SMRB",Q37=0),0,IF(AND($D64="F-SMRC",Q37=0),0,IF($D64=Worksheet!$A$68,Worksheet!H322,IF($D64=Worksheet!$A$69,Worksheet!H322,IF($D64=Worksheet!$A$70,Worksheet!H322,ROUND((Request!Q37/Worksheet!$F$5*Worksheet!$F$9*(IF(Request!$D64=Worksheet!$A$47,Worksheet!H$47,IF(Request!$D64=Worksheet!$A$48,Worksheet!H$48,IF(Request!$D64=Worksheet!$A$49,Worksheet!H$49,IF(Request!$D64=Worksheet!$A$50,Worksheet!H$50,IF(Request!$D64=Worksheet!$A$51,Worksheet!H$51,IF(Request!$D64=Worksheet!$A$52,Worksheet!H$52,IF(Request!$D64=Worksheet!$A$53,Worksheet!H$53,IF(Request!$D64=Worksheet!$A$54,Worksheet!H$54,IF(Request!$D64=Worksheet!$A$55,Worksheet!H$55))))))))))),0)+ROUND(Q37/Worksheet!$F$5*Worksheet!$F$10*(IF(Request!$D64=Worksheet!$A$47,Worksheet!I$47,IF(Request!$D64=Worksheet!$A$48,Worksheet!I$48,IF(Request!$D64=Worksheet!$A$49,Worksheet!I$49,IF(Request!$D64=Worksheet!$A$50,Worksheet!I$50,IF(Request!$D64=Worksheet!$A$51,Worksheet!I$51,IF(Request!$D64=Worksheet!$A$52,Worksheet!I$52,IF(Request!$D64=Worksheet!$A$53,Worksheet!I$53,IF(Request!$D64=Worksheet!$A$54,Worksheet!I$54,IF(Request!$D64=Worksheet!$A$55,Worksheet!I$55)))))))))),0))))))))</f>
        <v>0</v>
      </c>
      <c r="R64" s="178">
        <f>IF(R37=0,0,IF(AND($D64="F-SMRA",R37=0),0,IF(AND($D64="F-SMRB",R37=0),0,IF(AND($D64="F-SMRC",R37=0),0,IF($D64=Worksheet!$A$68,Worksheet!J322,IF($D64=Worksheet!$A$69,Worksheet!J322,IF($D64=Worksheet!$A$70,Worksheet!J322,ROUND((Request!R37/Worksheet!$G$5*Worksheet!$G$9*(IF(Request!$D64=Worksheet!$A$47,Worksheet!J$47,IF(Request!$D64=Worksheet!$A$48,Worksheet!J$48,IF(Request!$D64=Worksheet!$A$49,Worksheet!J$49,IF(Request!$D64=Worksheet!$A$50,Worksheet!J$50,IF(Request!$D64=Worksheet!$A$51,Worksheet!J$51,IF(Request!$D64=Worksheet!$A$52,Worksheet!J$52,IF(Request!$D64=Worksheet!$A$53,Worksheet!J$53,IF(Request!$D64=Worksheet!$A$54,Worksheet!J$54,IF(Request!$D64=Worksheet!$A$55,Worksheet!J$55))))))))))),0)+ROUND(R37/Worksheet!$G$5*Worksheet!$G$10*(IF(Request!$D64=Worksheet!$A$47,Worksheet!K$47,IF(Request!$D64=Worksheet!$A$48,Worksheet!K$48,IF(Request!$D64=Worksheet!$A$49,Worksheet!K$49,IF(Request!$D64=Worksheet!$A$50,Worksheet!K$50,IF(Request!$D64=Worksheet!$A$51,Worksheet!K$51,IF(Request!$D64=Worksheet!$A$52,Worksheet!K$52,IF(Request!$D64=Worksheet!$A$53,Worksheet!K$53,IF(Request!$D64=Worksheet!$A$54,Worksheet!K$54,IF(Request!$D64=Worksheet!$A$55,Worksheet!K$55)))))))))),0))))))))</f>
        <v>0</v>
      </c>
      <c r="S64" s="142">
        <f t="shared" si="7"/>
        <v>0</v>
      </c>
      <c r="T64" s="188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</row>
    <row r="65" spans="1:41" hidden="1" x14ac:dyDescent="0.15">
      <c r="A65" s="91">
        <v>23</v>
      </c>
      <c r="B65" s="276">
        <f t="shared" si="8"/>
        <v>0</v>
      </c>
      <c r="C65" s="277"/>
      <c r="D65" s="154" t="s">
        <v>51</v>
      </c>
      <c r="E65" s="172" t="str">
        <f>IF($D65=Worksheet!$A$59,Worksheet!B$59,IF($D65=Worksheet!$A$60,Worksheet!B$60,IF($D65=Worksheet!$A$61,Worksheet!B$61,IF($D65=Worksheet!$A$62,Worksheet!B$62,IF($D65=Worksheet!$A$63,Worksheet!B$63,IF($D65=Worksheet!$A$64,Worksheet!B$64,IF($D65=Worksheet!$A$65,Worksheet!B$65,IF($D65=Worksheet!$A$66,Worksheet!B$66,IF($D65=Worksheet!$A$67,Worksheet!B$67,IF($D65=Worksheet!$A$68,Worksheet!B297,IF($D65=Worksheet!$A$69,Worksheet!B297,IF($D65=Worksheet!$A$70,Worksheet!B297,IF($D65=Worksheet!$A$71,"")))))))))))))</f>
        <v/>
      </c>
      <c r="F65" s="271" t="str">
        <f>IF($D65=Worksheet!$A$59,Worksheet!C$59,IF($D65=Worksheet!$A$60,Worksheet!C$60,IF($D65=Worksheet!$A$61,Worksheet!C$61,IF($D65=Worksheet!$A$62,Worksheet!C$62,IF($D65=Worksheet!$A$63,Worksheet!C$63,IF($D65=Worksheet!$A$64,Worksheet!C$64,IF($D65=Worksheet!$A$65,Worksheet!C$65,IF($D65=Worksheet!$A$66,Worksheet!C$66,IF($D65=Worksheet!$A$67,Worksheet!C$67,IF($D65=Worksheet!$A$68,Worksheet!D297,IF($D65=Worksheet!$A$69,Worksheet!D297,IF($D65=Worksheet!$A$70,Worksheet!D297,IF($D65=Worksheet!$A$71,"")))))))))))))</f>
        <v/>
      </c>
      <c r="G65" s="272"/>
      <c r="H65" s="244" t="str">
        <f>IF($D65=Worksheet!$A$59,Worksheet!D$59,IF($D65=Worksheet!$A$60,Worksheet!D$60,IF($D65=Worksheet!$A$61,Worksheet!D$61,IF($D65=Worksheet!$A$62,Worksheet!D$62,IF($D65=Worksheet!$A$63,Worksheet!D$63,IF($D65=Worksheet!$A$64,Worksheet!D$64,IF($D65=Worksheet!$A$65,Worksheet!D$65,IF($D65=Worksheet!$A$66,Worksheet!D$66,IF($D65=Worksheet!$A$67,Worksheet!D$67,IF($D65=Worksheet!$A$68,Worksheet!F297,IF($D65=Worksheet!$A$69,Worksheet!F297,IF($D65=Worksheet!$A$70,Worksheet!F297,IF($D65=Worksheet!$A$71,"")))))))))))))</f>
        <v/>
      </c>
      <c r="I65" s="245"/>
      <c r="J65" s="244" t="str">
        <f>IF($D65=Worksheet!$A$59,Worksheet!E$59,IF($D65=Worksheet!$A$60,Worksheet!E$60,IF($D65=Worksheet!$A$61,Worksheet!E$61,IF($D65=Worksheet!$A$62,Worksheet!E$62,IF($D65=Worksheet!$A$63,Worksheet!E$63,IF($D65=Worksheet!$A$64,Worksheet!E$64,IF($D65=Worksheet!$A$65,Worksheet!E$65,IF($D65=Worksheet!$A$66,Worksheet!E$66,IF($D65=Worksheet!$A$67,Worksheet!E$67,IF($D65=Worksheet!$A$68,Worksheet!H297,IF($D65=Worksheet!$A$69,Worksheet!H297,IF($D65=Worksheet!$A$70,Worksheet!H297,IF($D65=Worksheet!$A$71,"")))))))))))))</f>
        <v/>
      </c>
      <c r="K65" s="245"/>
      <c r="L65" s="244" t="str">
        <f>IF($D65=Worksheet!$A$59,Worksheet!F$59,IF($D65=Worksheet!$A$60,Worksheet!F$60,IF($D65=Worksheet!$A$61,Worksheet!F$61,IF($D65=Worksheet!$A$62,Worksheet!F$62,IF($D65=Worksheet!$A$63,Worksheet!F$63,IF($D65=Worksheet!$A$64,Worksheet!F$64,IF($D65=Worksheet!$A$65,Worksheet!F$65,IF($D65=Worksheet!$A$66,Worksheet!F$66,IF($D65=Worksheet!$A$67,Worksheet!F$67,IF($D65=Worksheet!$A$68,Worksheet!J297,IF($D65=Worksheet!$A$69,Worksheet!J297,IF($D65=Worksheet!$A$70,Worksheet!J297,IF($D65=Worksheet!$A$71,"")))))))))))))</f>
        <v/>
      </c>
      <c r="M65" s="245"/>
      <c r="N65" s="178">
        <f>IF(N38=0,0,IF(AND($D65="F-SMRA",N38=0),0,IF(AND($D65="F-SMRB",N38=0),0,IF(AND($D65="F-SMRC",N38=0),0,IF($D65=Worksheet!$A$68,Worksheet!B323,IF($D65=Worksheet!$A$69,Worksheet!B323,IF($D65=Worksheet!$A$70,Worksheet!B323,ROUND((Request!N38/Worksheet!$C$5*Worksheet!$C$9*(IF(Request!$D65=Worksheet!$A$47,Worksheet!B$47,IF(Request!$D65=Worksheet!$A$48,Worksheet!B$48,IF(Request!$D65=Worksheet!$A$49,Worksheet!B$49,IF(Request!$D65=Worksheet!$A$50,Worksheet!B$50,IF(Request!$D65=Worksheet!$A$51,Worksheet!B$51,IF(Request!$D65=Worksheet!$A$52,Worksheet!B$52,IF(Request!$D65=Worksheet!$A$53,Worksheet!B$53,IF(Request!$D65=Worksheet!$A$54,Worksheet!B$54,IF(Request!$D65=Worksheet!$A$55,Worksheet!B$55))))))))))),0)+ROUND(N38/Worksheet!$C$5*Worksheet!$C$10*(IF(Request!$D65=Worksheet!$A$47,Worksheet!C$47,IF(Request!$D65=Worksheet!$A$48,Worksheet!C$48,IF(Request!$D65=Worksheet!$A$49,Worksheet!C$49,IF(Request!$D65=Worksheet!$A$50,Worksheet!C$50,IF(Request!$D65=Worksheet!$A$51,Worksheet!C$51,IF(Request!$D65=Worksheet!$A$52,Worksheet!C$52,IF(Request!$D65=Worksheet!$A$53,Worksheet!C$53,IF(Request!$D65=Worksheet!$A$54,Worksheet!C$54,IF(Request!$D65=Worksheet!$A$55,Worksheet!C$55)))))))))),0))))))))</f>
        <v>0</v>
      </c>
      <c r="O65" s="178">
        <f>IF(O38=0,0,IF(AND($D65="F-SMRA",O38=0),0,IF(AND($D65="F-SMRB",O38=0),0,IF(AND($D65="F-SMRC",O38=0),0,IF($D65=Worksheet!$A$68,Worksheet!D323,IF($D65=Worksheet!$A$69,Worksheet!D323,IF($D65=Worksheet!$A$70,Worksheet!D323,ROUND((Request!O38/Worksheet!$D$5*Worksheet!$D$9*(IF(Request!$D65=Worksheet!$A$47,Worksheet!D$47,IF(Request!$D65=Worksheet!$A$48,Worksheet!D$48,IF(Request!$D65=Worksheet!$A$49,Worksheet!D$49,IF(Request!$D65=Worksheet!$A$50,Worksheet!D$50,IF(Request!$D65=Worksheet!$A$51,Worksheet!D$51,IF(Request!$D65=Worksheet!$A$52,Worksheet!D$52,IF(Request!$D65=Worksheet!$A$53,Worksheet!D$53,IF(Request!$D65=Worksheet!$A$54,Worksheet!D$54,IF(Request!$D65=Worksheet!$A$55,Worksheet!D$55))))))))))),0)+ROUND(O38/Worksheet!$D$5*Worksheet!$D$10*(IF(Request!$D65=Worksheet!$A$47,Worksheet!E$47,IF(Request!$D65=Worksheet!$A$48,Worksheet!E$48,IF(Request!$D65=Worksheet!$A$49,Worksheet!E$49,IF(Request!$D65=Worksheet!$A$50,Worksheet!E$50,IF(Request!$D65=Worksheet!$A$51,Worksheet!E$51,IF(Request!$D65=Worksheet!$A$52,Worksheet!E$52,IF(Request!$D65=Worksheet!$A$53,Worksheet!E$53,IF(Request!$D65=Worksheet!$A$54,Worksheet!E$54,IF(Request!$D65=Worksheet!$A$55,Worksheet!E$55)))))))))),0))))))))</f>
        <v>0</v>
      </c>
      <c r="P65" s="178">
        <f>IF(P38=0,0,IF(AND($D65="F-SMRA",P38=0),0,IF(AND($D65="F-SMRB",P38=0),0,IF(AND($D65="F-SMRC",P38=0),0,IF($D65=Worksheet!$A$68,Worksheet!F323,IF($D65=Worksheet!$A$69,Worksheet!F323,IF($D65=Worksheet!$A$70,Worksheet!F323,ROUND((Request!P38/Worksheet!$E$5*Worksheet!$E$9*(IF(Request!$D65=Worksheet!$A$47,Worksheet!F$47,IF(Request!$D65=Worksheet!$A$48,Worksheet!F$48,IF(Request!$D65=Worksheet!$A$49,Worksheet!F$49,IF(Request!$D65=Worksheet!$A$50,Worksheet!F$50,IF(Request!$D65=Worksheet!$A$51,Worksheet!F$51,IF(Request!$D65=Worksheet!$A$52,Worksheet!F$52,IF(Request!$D65=Worksheet!$A$53,Worksheet!F$53,IF(Request!$D65=Worksheet!$A$54,Worksheet!F$54,IF(Request!$D65=Worksheet!$A$55,Worksheet!F$55))))))))))),0)+ROUND(P38/Worksheet!$E$5*Worksheet!$E$10*(IF(Request!$D65=Worksheet!$A$47,Worksheet!G$47,IF(Request!$D65=Worksheet!$A$48,Worksheet!G$48,IF(Request!$D65=Worksheet!$A$49,Worksheet!G$49,IF(Request!$D65=Worksheet!$A$50,Worksheet!G$50,IF(Request!$D65=Worksheet!$A$51,Worksheet!G$51,IF(Request!$D65=Worksheet!$A$52,Worksheet!G$52,IF(Request!$D65=Worksheet!$A$53,Worksheet!G$53,IF(Request!$D65=Worksheet!$A$54,Worksheet!G$54,IF(Request!$D65=Worksheet!$A$55,Worksheet!G$55)))))))))),0))))))))</f>
        <v>0</v>
      </c>
      <c r="Q65" s="178">
        <f>IF(Q38=0,0,IF(AND($D65="F-SMRA",Q38=0),0,IF(AND($D65="F-SMRB",Q38=0),0,IF(AND($D65="F-SMRC",Q38=0),0,IF($D65=Worksheet!$A$68,Worksheet!H323,IF($D65=Worksheet!$A$69,Worksheet!H323,IF($D65=Worksheet!$A$70,Worksheet!H323,ROUND((Request!Q38/Worksheet!$F$5*Worksheet!$F$9*(IF(Request!$D65=Worksheet!$A$47,Worksheet!H$47,IF(Request!$D65=Worksheet!$A$48,Worksheet!H$48,IF(Request!$D65=Worksheet!$A$49,Worksheet!H$49,IF(Request!$D65=Worksheet!$A$50,Worksheet!H$50,IF(Request!$D65=Worksheet!$A$51,Worksheet!H$51,IF(Request!$D65=Worksheet!$A$52,Worksheet!H$52,IF(Request!$D65=Worksheet!$A$53,Worksheet!H$53,IF(Request!$D65=Worksheet!$A$54,Worksheet!H$54,IF(Request!$D65=Worksheet!$A$55,Worksheet!H$55))))))))))),0)+ROUND(Q38/Worksheet!$F$5*Worksheet!$F$10*(IF(Request!$D65=Worksheet!$A$47,Worksheet!I$47,IF(Request!$D65=Worksheet!$A$48,Worksheet!I$48,IF(Request!$D65=Worksheet!$A$49,Worksheet!I$49,IF(Request!$D65=Worksheet!$A$50,Worksheet!I$50,IF(Request!$D65=Worksheet!$A$51,Worksheet!I$51,IF(Request!$D65=Worksheet!$A$52,Worksheet!I$52,IF(Request!$D65=Worksheet!$A$53,Worksheet!I$53,IF(Request!$D65=Worksheet!$A$54,Worksheet!I$54,IF(Request!$D65=Worksheet!$A$55,Worksheet!I$55)))))))))),0))))))))</f>
        <v>0</v>
      </c>
      <c r="R65" s="178">
        <f>IF(R38=0,0,IF(AND($D65="F-SMRA",R38=0),0,IF(AND($D65="F-SMRB",R38=0),0,IF(AND($D65="F-SMRC",R38=0),0,IF($D65=Worksheet!$A$68,Worksheet!J323,IF($D65=Worksheet!$A$69,Worksheet!J323,IF($D65=Worksheet!$A$70,Worksheet!J323,ROUND((Request!R38/Worksheet!$G$5*Worksheet!$G$9*(IF(Request!$D65=Worksheet!$A$47,Worksheet!J$47,IF(Request!$D65=Worksheet!$A$48,Worksheet!J$48,IF(Request!$D65=Worksheet!$A$49,Worksheet!J$49,IF(Request!$D65=Worksheet!$A$50,Worksheet!J$50,IF(Request!$D65=Worksheet!$A$51,Worksheet!J$51,IF(Request!$D65=Worksheet!$A$52,Worksheet!J$52,IF(Request!$D65=Worksheet!$A$53,Worksheet!J$53,IF(Request!$D65=Worksheet!$A$54,Worksheet!J$54,IF(Request!$D65=Worksheet!$A$55,Worksheet!J$55))))))))))),0)+ROUND(R38/Worksheet!$G$5*Worksheet!$G$10*(IF(Request!$D65=Worksheet!$A$47,Worksheet!K$47,IF(Request!$D65=Worksheet!$A$48,Worksheet!K$48,IF(Request!$D65=Worksheet!$A$49,Worksheet!K$49,IF(Request!$D65=Worksheet!$A$50,Worksheet!K$50,IF(Request!$D65=Worksheet!$A$51,Worksheet!K$51,IF(Request!$D65=Worksheet!$A$52,Worksheet!K$52,IF(Request!$D65=Worksheet!$A$53,Worksheet!K$53,IF(Request!$D65=Worksheet!$A$54,Worksheet!K$54,IF(Request!$D65=Worksheet!$A$55,Worksheet!K$55)))))))))),0))))))))</f>
        <v>0</v>
      </c>
      <c r="S65" s="142">
        <f t="shared" si="7"/>
        <v>0</v>
      </c>
      <c r="T65" s="188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</row>
    <row r="66" spans="1:41" hidden="1" x14ac:dyDescent="0.15">
      <c r="A66" s="91">
        <v>24</v>
      </c>
      <c r="B66" s="276">
        <f t="shared" si="8"/>
        <v>0</v>
      </c>
      <c r="C66" s="277"/>
      <c r="D66" s="154" t="s">
        <v>51</v>
      </c>
      <c r="E66" s="172" t="str">
        <f>IF($D66=Worksheet!$A$59,Worksheet!B$59,IF($D66=Worksheet!$A$60,Worksheet!B$60,IF($D66=Worksheet!$A$61,Worksheet!B$61,IF($D66=Worksheet!$A$62,Worksheet!B$62,IF($D66=Worksheet!$A$63,Worksheet!B$63,IF($D66=Worksheet!$A$64,Worksheet!B$64,IF($D66=Worksheet!$A$65,Worksheet!B$65,IF($D66=Worksheet!$A$66,Worksheet!B$66,IF($D66=Worksheet!$A$67,Worksheet!B$67,IF($D66=Worksheet!$A$68,Worksheet!B298,IF($D66=Worksheet!$A$69,Worksheet!B298,IF($D66=Worksheet!$A$70,Worksheet!B298,IF($D66=Worksheet!$A$71,"")))))))))))))</f>
        <v/>
      </c>
      <c r="F66" s="271" t="str">
        <f>IF($D66=Worksheet!$A$59,Worksheet!C$59,IF($D66=Worksheet!$A$60,Worksheet!C$60,IF($D66=Worksheet!$A$61,Worksheet!C$61,IF($D66=Worksheet!$A$62,Worksheet!C$62,IF($D66=Worksheet!$A$63,Worksheet!C$63,IF($D66=Worksheet!$A$64,Worksheet!C$64,IF($D66=Worksheet!$A$65,Worksheet!C$65,IF($D66=Worksheet!$A$66,Worksheet!C$66,IF($D66=Worksheet!$A$67,Worksheet!C$67,IF($D66=Worksheet!$A$68,Worksheet!D298,IF($D66=Worksheet!$A$69,Worksheet!D298,IF($D66=Worksheet!$A$70,Worksheet!D298,IF($D66=Worksheet!$A$71,"")))))))))))))</f>
        <v/>
      </c>
      <c r="G66" s="272"/>
      <c r="H66" s="244" t="str">
        <f>IF($D66=Worksheet!$A$59,Worksheet!D$59,IF($D66=Worksheet!$A$60,Worksheet!D$60,IF($D66=Worksheet!$A$61,Worksheet!D$61,IF($D66=Worksheet!$A$62,Worksheet!D$62,IF($D66=Worksheet!$A$63,Worksheet!D$63,IF($D66=Worksheet!$A$64,Worksheet!D$64,IF($D66=Worksheet!$A$65,Worksheet!D$65,IF($D66=Worksheet!$A$66,Worksheet!D$66,IF($D66=Worksheet!$A$67,Worksheet!D$67,IF($D66=Worksheet!$A$68,Worksheet!F298,IF($D66=Worksheet!$A$69,Worksheet!F298,IF($D66=Worksheet!$A$70,Worksheet!F298,IF($D66=Worksheet!$A$71,"")))))))))))))</f>
        <v/>
      </c>
      <c r="I66" s="245"/>
      <c r="J66" s="244" t="str">
        <f>IF($D66=Worksheet!$A$59,Worksheet!E$59,IF($D66=Worksheet!$A$60,Worksheet!E$60,IF($D66=Worksheet!$A$61,Worksheet!E$61,IF($D66=Worksheet!$A$62,Worksheet!E$62,IF($D66=Worksheet!$A$63,Worksheet!E$63,IF($D66=Worksheet!$A$64,Worksheet!E$64,IF($D66=Worksheet!$A$65,Worksheet!E$65,IF($D66=Worksheet!$A$66,Worksheet!E$66,IF($D66=Worksheet!$A$67,Worksheet!E$67,IF($D66=Worksheet!$A$68,Worksheet!H298,IF($D66=Worksheet!$A$69,Worksheet!H298,IF($D66=Worksheet!$A$70,Worksheet!H298,IF($D66=Worksheet!$A$71,"")))))))))))))</f>
        <v/>
      </c>
      <c r="K66" s="245"/>
      <c r="L66" s="244" t="str">
        <f>IF($D66=Worksheet!$A$59,Worksheet!F$59,IF($D66=Worksheet!$A$60,Worksheet!F$60,IF($D66=Worksheet!$A$61,Worksheet!F$61,IF($D66=Worksheet!$A$62,Worksheet!F$62,IF($D66=Worksheet!$A$63,Worksheet!F$63,IF($D66=Worksheet!$A$64,Worksheet!F$64,IF($D66=Worksheet!$A$65,Worksheet!F$65,IF($D66=Worksheet!$A$66,Worksheet!F$66,IF($D66=Worksheet!$A$67,Worksheet!F$67,IF($D66=Worksheet!$A$68,Worksheet!J298,IF($D66=Worksheet!$A$69,Worksheet!J298,IF($D66=Worksheet!$A$70,Worksheet!J298,IF($D66=Worksheet!$A$71,"")))))))))))))</f>
        <v/>
      </c>
      <c r="M66" s="245"/>
      <c r="N66" s="178">
        <f>IF(N39=0,0,IF(AND($D66="F-SMRA",N39=0),0,IF(AND($D66="F-SMRB",N39=0),0,IF(AND($D66="F-SMRC",N39=0),0,IF($D66=Worksheet!$A$68,Worksheet!B324,IF($D66=Worksheet!$A$69,Worksheet!B324,IF($D66=Worksheet!$A$70,Worksheet!B324,ROUND((Request!N39/Worksheet!$C$5*Worksheet!$C$9*(IF(Request!$D66=Worksheet!$A$47,Worksheet!B$47,IF(Request!$D66=Worksheet!$A$48,Worksheet!B$48,IF(Request!$D66=Worksheet!$A$49,Worksheet!B$49,IF(Request!$D66=Worksheet!$A$50,Worksheet!B$50,IF(Request!$D66=Worksheet!$A$51,Worksheet!B$51,IF(Request!$D66=Worksheet!$A$52,Worksheet!B$52,IF(Request!$D66=Worksheet!$A$53,Worksheet!B$53,IF(Request!$D66=Worksheet!$A$54,Worksheet!B$54,IF(Request!$D66=Worksheet!$A$55,Worksheet!B$55))))))))))),0)+ROUND(N39/Worksheet!$C$5*Worksheet!$C$10*(IF(Request!$D66=Worksheet!$A$47,Worksheet!C$47,IF(Request!$D66=Worksheet!$A$48,Worksheet!C$48,IF(Request!$D66=Worksheet!$A$49,Worksheet!C$49,IF(Request!$D66=Worksheet!$A$50,Worksheet!C$50,IF(Request!$D66=Worksheet!$A$51,Worksheet!C$51,IF(Request!$D66=Worksheet!$A$52,Worksheet!C$52,IF(Request!$D66=Worksheet!$A$53,Worksheet!C$53,IF(Request!$D66=Worksheet!$A$54,Worksheet!C$54,IF(Request!$D66=Worksheet!$A$55,Worksheet!C$55)))))))))),0))))))))</f>
        <v>0</v>
      </c>
      <c r="O66" s="178">
        <f>IF(O39=0,0,IF(AND($D66="F-SMRA",O39=0),0,IF(AND($D66="F-SMRB",O39=0),0,IF(AND($D66="F-SMRC",O39=0),0,IF($D66=Worksheet!$A$68,Worksheet!D324,IF($D66=Worksheet!$A$69,Worksheet!D324,IF($D66=Worksheet!$A$70,Worksheet!D324,ROUND((Request!O39/Worksheet!$D$5*Worksheet!$D$9*(IF(Request!$D66=Worksheet!$A$47,Worksheet!D$47,IF(Request!$D66=Worksheet!$A$48,Worksheet!D$48,IF(Request!$D66=Worksheet!$A$49,Worksheet!D$49,IF(Request!$D66=Worksheet!$A$50,Worksheet!D$50,IF(Request!$D66=Worksheet!$A$51,Worksheet!D$51,IF(Request!$D66=Worksheet!$A$52,Worksheet!D$52,IF(Request!$D66=Worksheet!$A$53,Worksheet!D$53,IF(Request!$D66=Worksheet!$A$54,Worksheet!D$54,IF(Request!$D66=Worksheet!$A$55,Worksheet!D$55))))))))))),0)+ROUND(O39/Worksheet!$D$5*Worksheet!$D$10*(IF(Request!$D66=Worksheet!$A$47,Worksheet!E$47,IF(Request!$D66=Worksheet!$A$48,Worksheet!E$48,IF(Request!$D66=Worksheet!$A$49,Worksheet!E$49,IF(Request!$D66=Worksheet!$A$50,Worksheet!E$50,IF(Request!$D66=Worksheet!$A$51,Worksheet!E$51,IF(Request!$D66=Worksheet!$A$52,Worksheet!E$52,IF(Request!$D66=Worksheet!$A$53,Worksheet!E$53,IF(Request!$D66=Worksheet!$A$54,Worksheet!E$54,IF(Request!$D66=Worksheet!$A$55,Worksheet!E$55)))))))))),0))))))))</f>
        <v>0</v>
      </c>
      <c r="P66" s="178">
        <f>IF(P39=0,0,IF(AND($D66="F-SMRA",P39=0),0,IF(AND($D66="F-SMRB",P39=0),0,IF(AND($D66="F-SMRC",P39=0),0,IF($D66=Worksheet!$A$68,Worksheet!F324,IF($D66=Worksheet!$A$69,Worksheet!F324,IF($D66=Worksheet!$A$70,Worksheet!F324,ROUND((Request!P39/Worksheet!$E$5*Worksheet!$E$9*(IF(Request!$D66=Worksheet!$A$47,Worksheet!F$47,IF(Request!$D66=Worksheet!$A$48,Worksheet!F$48,IF(Request!$D66=Worksheet!$A$49,Worksheet!F$49,IF(Request!$D66=Worksheet!$A$50,Worksheet!F$50,IF(Request!$D66=Worksheet!$A$51,Worksheet!F$51,IF(Request!$D66=Worksheet!$A$52,Worksheet!F$52,IF(Request!$D66=Worksheet!$A$53,Worksheet!F$53,IF(Request!$D66=Worksheet!$A$54,Worksheet!F$54,IF(Request!$D66=Worksheet!$A$55,Worksheet!F$55))))))))))),0)+ROUND(P39/Worksheet!$E$5*Worksheet!$E$10*(IF(Request!$D66=Worksheet!$A$47,Worksheet!G$47,IF(Request!$D66=Worksheet!$A$48,Worksheet!G$48,IF(Request!$D66=Worksheet!$A$49,Worksheet!G$49,IF(Request!$D66=Worksheet!$A$50,Worksheet!G$50,IF(Request!$D66=Worksheet!$A$51,Worksheet!G$51,IF(Request!$D66=Worksheet!$A$52,Worksheet!G$52,IF(Request!$D66=Worksheet!$A$53,Worksheet!G$53,IF(Request!$D66=Worksheet!$A$54,Worksheet!G$54,IF(Request!$D66=Worksheet!$A$55,Worksheet!G$55)))))))))),0))))))))</f>
        <v>0</v>
      </c>
      <c r="Q66" s="178">
        <f>IF(Q39=0,0,IF(AND($D66="F-SMRA",Q39=0),0,IF(AND($D66="F-SMRB",Q39=0),0,IF(AND($D66="F-SMRC",Q39=0),0,IF($D66=Worksheet!$A$68,Worksheet!H324,IF($D66=Worksheet!$A$69,Worksheet!H324,IF($D66=Worksheet!$A$70,Worksheet!H324,ROUND((Request!Q39/Worksheet!$F$5*Worksheet!$F$9*(IF(Request!$D66=Worksheet!$A$47,Worksheet!H$47,IF(Request!$D66=Worksheet!$A$48,Worksheet!H$48,IF(Request!$D66=Worksheet!$A$49,Worksheet!H$49,IF(Request!$D66=Worksheet!$A$50,Worksheet!H$50,IF(Request!$D66=Worksheet!$A$51,Worksheet!H$51,IF(Request!$D66=Worksheet!$A$52,Worksheet!H$52,IF(Request!$D66=Worksheet!$A$53,Worksheet!H$53,IF(Request!$D66=Worksheet!$A$54,Worksheet!H$54,IF(Request!$D66=Worksheet!$A$55,Worksheet!H$55))))))))))),0)+ROUND(Q39/Worksheet!$F$5*Worksheet!$F$10*(IF(Request!$D66=Worksheet!$A$47,Worksheet!I$47,IF(Request!$D66=Worksheet!$A$48,Worksheet!I$48,IF(Request!$D66=Worksheet!$A$49,Worksheet!I$49,IF(Request!$D66=Worksheet!$A$50,Worksheet!I$50,IF(Request!$D66=Worksheet!$A$51,Worksheet!I$51,IF(Request!$D66=Worksheet!$A$52,Worksheet!I$52,IF(Request!$D66=Worksheet!$A$53,Worksheet!I$53,IF(Request!$D66=Worksheet!$A$54,Worksheet!I$54,IF(Request!$D66=Worksheet!$A$55,Worksheet!I$55)))))))))),0))))))))</f>
        <v>0</v>
      </c>
      <c r="R66" s="178">
        <f>IF(R39=0,0,IF(AND($D66="F-SMRA",R39=0),0,IF(AND($D66="F-SMRB",R39=0),0,IF(AND($D66="F-SMRC",R39=0),0,IF($D66=Worksheet!$A$68,Worksheet!J324,IF($D66=Worksheet!$A$69,Worksheet!J324,IF($D66=Worksheet!$A$70,Worksheet!J324,ROUND((Request!R39/Worksheet!$G$5*Worksheet!$G$9*(IF(Request!$D66=Worksheet!$A$47,Worksheet!J$47,IF(Request!$D66=Worksheet!$A$48,Worksheet!J$48,IF(Request!$D66=Worksheet!$A$49,Worksheet!J$49,IF(Request!$D66=Worksheet!$A$50,Worksheet!J$50,IF(Request!$D66=Worksheet!$A$51,Worksheet!J$51,IF(Request!$D66=Worksheet!$A$52,Worksheet!J$52,IF(Request!$D66=Worksheet!$A$53,Worksheet!J$53,IF(Request!$D66=Worksheet!$A$54,Worksheet!J$54,IF(Request!$D66=Worksheet!$A$55,Worksheet!J$55))))))))))),0)+ROUND(R39/Worksheet!$G$5*Worksheet!$G$10*(IF(Request!$D66=Worksheet!$A$47,Worksheet!K$47,IF(Request!$D66=Worksheet!$A$48,Worksheet!K$48,IF(Request!$D66=Worksheet!$A$49,Worksheet!K$49,IF(Request!$D66=Worksheet!$A$50,Worksheet!K$50,IF(Request!$D66=Worksheet!$A$51,Worksheet!K$51,IF(Request!$D66=Worksheet!$A$52,Worksheet!K$52,IF(Request!$D66=Worksheet!$A$53,Worksheet!K$53,IF(Request!$D66=Worksheet!$A$54,Worksheet!K$54,IF(Request!$D66=Worksheet!$A$55,Worksheet!K$55)))))))))),0))))))))</f>
        <v>0</v>
      </c>
      <c r="S66" s="142">
        <f t="shared" si="7"/>
        <v>0</v>
      </c>
      <c r="T66" s="188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</row>
    <row r="67" spans="1:41" x14ac:dyDescent="0.15">
      <c r="A67" s="257" t="s">
        <v>6</v>
      </c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9"/>
      <c r="N67" s="155">
        <f>ROUND(SUM(N43:N50),0)</f>
        <v>8942</v>
      </c>
      <c r="O67" s="155">
        <f t="shared" ref="O67:S67" si="9">SUM(O43:O66)</f>
        <v>0</v>
      </c>
      <c r="P67" s="155">
        <f t="shared" si="9"/>
        <v>0</v>
      </c>
      <c r="Q67" s="155">
        <f t="shared" si="9"/>
        <v>0</v>
      </c>
      <c r="R67" s="155">
        <f t="shared" si="9"/>
        <v>0</v>
      </c>
      <c r="S67" s="155">
        <f t="shared" si="9"/>
        <v>8941.7800000000007</v>
      </c>
      <c r="T67" s="189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</row>
    <row r="68" spans="1:41" x14ac:dyDescent="0.15">
      <c r="A68" s="260" t="s">
        <v>20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2"/>
      <c r="N68" s="156">
        <f t="shared" ref="N68:S68" si="10">N40+N67</f>
        <v>35922</v>
      </c>
      <c r="O68" s="156">
        <f t="shared" si="10"/>
        <v>0</v>
      </c>
      <c r="P68" s="156">
        <f t="shared" si="10"/>
        <v>0</v>
      </c>
      <c r="Q68" s="156">
        <f t="shared" si="10"/>
        <v>0</v>
      </c>
      <c r="R68" s="156">
        <f t="shared" si="10"/>
        <v>0</v>
      </c>
      <c r="S68" s="156">
        <f t="shared" si="10"/>
        <v>35921.78</v>
      </c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</row>
    <row r="69" spans="1:41" hidden="1" x14ac:dyDescent="0.15"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</row>
    <row r="70" spans="1:41" hidden="1" x14ac:dyDescent="0.15">
      <c r="A70" s="242" t="s">
        <v>145</v>
      </c>
      <c r="B70" s="243"/>
      <c r="C70" s="24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102"/>
      <c r="O70" s="102"/>
      <c r="P70" s="102"/>
      <c r="Q70" s="102"/>
      <c r="R70" s="102"/>
      <c r="S70" s="102" t="str">
        <f>S42</f>
        <v>Total</v>
      </c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</row>
    <row r="71" spans="1:41" hidden="1" x14ac:dyDescent="0.15">
      <c r="A71" s="174"/>
      <c r="B71" s="157" t="s">
        <v>199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8"/>
      <c r="O71" s="158"/>
      <c r="P71" s="158"/>
      <c r="Q71" s="158"/>
      <c r="R71" s="158"/>
      <c r="S71" s="86">
        <f>SUM(N71:R71)</f>
        <v>0</v>
      </c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</row>
    <row r="72" spans="1:41" hidden="1" x14ac:dyDescent="0.15">
      <c r="A72" s="174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8"/>
      <c r="O72" s="158"/>
      <c r="P72" s="158"/>
      <c r="Q72" s="158"/>
      <c r="R72" s="158"/>
      <c r="S72" s="86">
        <f t="shared" ref="S72:S79" si="11">SUM(N72:R72)</f>
        <v>0</v>
      </c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</row>
    <row r="73" spans="1:41" hidden="1" x14ac:dyDescent="0.15">
      <c r="A73" s="174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8"/>
      <c r="O73" s="158"/>
      <c r="P73" s="158"/>
      <c r="Q73" s="158"/>
      <c r="R73" s="158"/>
      <c r="S73" s="86">
        <f t="shared" si="11"/>
        <v>0</v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</row>
    <row r="74" spans="1:41" hidden="1" x14ac:dyDescent="0.15">
      <c r="A74" s="174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8"/>
      <c r="O74" s="158"/>
      <c r="P74" s="158"/>
      <c r="Q74" s="158"/>
      <c r="R74" s="158"/>
      <c r="S74" s="86">
        <f t="shared" si="11"/>
        <v>0</v>
      </c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</row>
    <row r="75" spans="1:41" hidden="1" x14ac:dyDescent="0.15">
      <c r="A75" s="174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8"/>
      <c r="O75" s="158"/>
      <c r="P75" s="158"/>
      <c r="Q75" s="158"/>
      <c r="R75" s="158"/>
      <c r="S75" s="86">
        <f t="shared" si="11"/>
        <v>0</v>
      </c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</row>
    <row r="76" spans="1:41" hidden="1" x14ac:dyDescent="0.15">
      <c r="A76" s="174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8"/>
      <c r="O76" s="158"/>
      <c r="P76" s="158"/>
      <c r="Q76" s="158"/>
      <c r="R76" s="158"/>
      <c r="S76" s="86">
        <f t="shared" si="11"/>
        <v>0</v>
      </c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</row>
    <row r="77" spans="1:41" hidden="1" x14ac:dyDescent="0.15">
      <c r="A77" s="174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8"/>
      <c r="O77" s="158"/>
      <c r="P77" s="158"/>
      <c r="Q77" s="158"/>
      <c r="R77" s="158"/>
      <c r="S77" s="86">
        <f t="shared" si="11"/>
        <v>0</v>
      </c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</row>
    <row r="78" spans="1:41" hidden="1" x14ac:dyDescent="0.15">
      <c r="A78" s="174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8"/>
      <c r="O78" s="158"/>
      <c r="P78" s="158"/>
      <c r="Q78" s="158"/>
      <c r="R78" s="158"/>
      <c r="S78" s="86">
        <f t="shared" si="11"/>
        <v>0</v>
      </c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</row>
    <row r="79" spans="1:41" hidden="1" x14ac:dyDescent="0.15">
      <c r="A79" s="174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8"/>
      <c r="O79" s="158"/>
      <c r="P79" s="158"/>
      <c r="Q79" s="158"/>
      <c r="R79" s="158"/>
      <c r="S79" s="86">
        <f t="shared" si="11"/>
        <v>0</v>
      </c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</row>
    <row r="80" spans="1:41" hidden="1" x14ac:dyDescent="0.15">
      <c r="A80" s="251" t="s">
        <v>146</v>
      </c>
      <c r="B80" s="252"/>
      <c r="C80" s="252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5">
        <f>SUM(N71:N79)</f>
        <v>0</v>
      </c>
      <c r="O80" s="125">
        <f t="shared" ref="O80:R80" si="12">SUM(O71:O79)</f>
        <v>0</v>
      </c>
      <c r="P80" s="125">
        <f t="shared" si="12"/>
        <v>0</v>
      </c>
      <c r="Q80" s="125">
        <f t="shared" si="12"/>
        <v>0</v>
      </c>
      <c r="R80" s="125">
        <f t="shared" si="12"/>
        <v>0</v>
      </c>
      <c r="S80" s="125">
        <f>SUM(S71:S79)</f>
        <v>0</v>
      </c>
      <c r="T80" s="19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</row>
    <row r="81" spans="1:41" hidden="1" x14ac:dyDescent="0.15">
      <c r="A81" s="92"/>
      <c r="B81" s="61"/>
      <c r="C81" s="61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</row>
    <row r="82" spans="1:41" hidden="1" x14ac:dyDescent="0.15">
      <c r="A82" s="242" t="s">
        <v>64</v>
      </c>
      <c r="B82" s="243"/>
      <c r="C82" s="243"/>
      <c r="D82" s="54"/>
      <c r="E82" s="54"/>
      <c r="F82" s="54"/>
      <c r="G82" s="54"/>
      <c r="H82" s="54"/>
      <c r="I82" s="54"/>
      <c r="J82" s="54"/>
      <c r="K82" s="299" t="s">
        <v>135</v>
      </c>
      <c r="L82" s="299"/>
      <c r="M82" s="300"/>
      <c r="N82" s="102"/>
      <c r="O82" s="102"/>
      <c r="P82" s="102"/>
      <c r="Q82" s="102"/>
      <c r="R82" s="102"/>
      <c r="S82" s="102" t="str">
        <f t="shared" ref="S82" si="13">S70</f>
        <v>Total</v>
      </c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</row>
    <row r="83" spans="1:41" hidden="1" x14ac:dyDescent="0.15">
      <c r="A83" s="174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45" t="s">
        <v>177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85">
        <f>SUM(N83:R83)</f>
        <v>0</v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</row>
    <row r="84" spans="1:41" hidden="1" x14ac:dyDescent="0.15">
      <c r="A84" s="174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45" t="s">
        <v>177</v>
      </c>
      <c r="N84" s="158"/>
      <c r="O84" s="158"/>
      <c r="P84" s="158"/>
      <c r="Q84" s="158"/>
      <c r="R84" s="158"/>
      <c r="S84" s="85">
        <f t="shared" ref="S84:S92" si="14">SUM(N84:R84)</f>
        <v>0</v>
      </c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</row>
    <row r="85" spans="1:41" hidden="1" x14ac:dyDescent="0.15">
      <c r="A85" s="174" t="s">
        <v>174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45" t="s">
        <v>177</v>
      </c>
      <c r="N85" s="158"/>
      <c r="O85" s="158"/>
      <c r="P85" s="158"/>
      <c r="Q85" s="158"/>
      <c r="R85" s="158"/>
      <c r="S85" s="85">
        <f t="shared" si="14"/>
        <v>0</v>
      </c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</row>
    <row r="86" spans="1:41" hidden="1" x14ac:dyDescent="0.15">
      <c r="A86" s="174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45" t="s">
        <v>177</v>
      </c>
      <c r="N86" s="158"/>
      <c r="O86" s="158"/>
      <c r="P86" s="158"/>
      <c r="Q86" s="158"/>
      <c r="R86" s="158"/>
      <c r="S86" s="85">
        <f t="shared" si="14"/>
        <v>0</v>
      </c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</row>
    <row r="87" spans="1:41" hidden="1" x14ac:dyDescent="0.15">
      <c r="A87" s="174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45" t="s">
        <v>177</v>
      </c>
      <c r="N87" s="158"/>
      <c r="O87" s="158"/>
      <c r="P87" s="158"/>
      <c r="Q87" s="158"/>
      <c r="R87" s="158"/>
      <c r="S87" s="85">
        <f t="shared" si="14"/>
        <v>0</v>
      </c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</row>
    <row r="88" spans="1:41" hidden="1" x14ac:dyDescent="0.15">
      <c r="A88" s="174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45" t="s">
        <v>177</v>
      </c>
      <c r="N88" s="158"/>
      <c r="O88" s="158"/>
      <c r="P88" s="158"/>
      <c r="Q88" s="158"/>
      <c r="R88" s="158"/>
      <c r="S88" s="85">
        <f t="shared" si="14"/>
        <v>0</v>
      </c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</row>
    <row r="89" spans="1:41" hidden="1" x14ac:dyDescent="0.15">
      <c r="A89" s="174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45" t="s">
        <v>177</v>
      </c>
      <c r="N89" s="158"/>
      <c r="O89" s="158"/>
      <c r="P89" s="158"/>
      <c r="Q89" s="158"/>
      <c r="R89" s="158"/>
      <c r="S89" s="85">
        <f t="shared" si="14"/>
        <v>0</v>
      </c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</row>
    <row r="90" spans="1:41" hidden="1" x14ac:dyDescent="0.15">
      <c r="A90" s="174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45" t="s">
        <v>177</v>
      </c>
      <c r="N90" s="158"/>
      <c r="O90" s="158"/>
      <c r="P90" s="158"/>
      <c r="Q90" s="158"/>
      <c r="R90" s="158"/>
      <c r="S90" s="85">
        <f t="shared" si="14"/>
        <v>0</v>
      </c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</row>
    <row r="91" spans="1:41" hidden="1" x14ac:dyDescent="0.15">
      <c r="A91" s="339" t="s">
        <v>175</v>
      </c>
      <c r="B91" s="340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1"/>
      <c r="N91" s="126">
        <f>SUMIF($M$83:$M$90,"No",N83:N90)</f>
        <v>0</v>
      </c>
      <c r="O91" s="126">
        <f t="shared" ref="O91:R91" si="15">SUMIF($M$83:$M$90,"No",O83:O90)</f>
        <v>0</v>
      </c>
      <c r="P91" s="126">
        <f t="shared" si="15"/>
        <v>0</v>
      </c>
      <c r="Q91" s="126">
        <f t="shared" si="15"/>
        <v>0</v>
      </c>
      <c r="R91" s="126">
        <f t="shared" si="15"/>
        <v>0</v>
      </c>
      <c r="S91" s="126">
        <f t="shared" si="14"/>
        <v>0</v>
      </c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</row>
    <row r="92" spans="1:41" hidden="1" x14ac:dyDescent="0.15">
      <c r="A92" s="342" t="s">
        <v>176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4"/>
      <c r="N92" s="205">
        <f>SUMIF($M$83:$M$90,"Yes",N83:N90)</f>
        <v>0</v>
      </c>
      <c r="O92" s="205">
        <f t="shared" ref="O92:R92" si="16">SUMIF($M$83:$M$90,"Yes",O83:O90)</f>
        <v>0</v>
      </c>
      <c r="P92" s="205">
        <f t="shared" si="16"/>
        <v>0</v>
      </c>
      <c r="Q92" s="205">
        <f t="shared" si="16"/>
        <v>0</v>
      </c>
      <c r="R92" s="205">
        <f t="shared" si="16"/>
        <v>0</v>
      </c>
      <c r="S92" s="205">
        <f t="shared" si="14"/>
        <v>0</v>
      </c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</row>
    <row r="93" spans="1:41" hidden="1" x14ac:dyDescent="0.15">
      <c r="A93" s="242" t="s">
        <v>65</v>
      </c>
      <c r="B93" s="243"/>
      <c r="C93" s="24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88">
        <f>SUM(N83:N90)</f>
        <v>0</v>
      </c>
      <c r="O93" s="88">
        <f t="shared" ref="O93:R93" si="17">SUM(O83:O90)</f>
        <v>0</v>
      </c>
      <c r="P93" s="88">
        <f t="shared" si="17"/>
        <v>0</v>
      </c>
      <c r="Q93" s="88">
        <f t="shared" si="17"/>
        <v>0</v>
      </c>
      <c r="R93" s="88">
        <f t="shared" si="17"/>
        <v>0</v>
      </c>
      <c r="S93" s="88">
        <f>SUM(S83:S90)</f>
        <v>0</v>
      </c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</row>
    <row r="94" spans="1:41" x14ac:dyDescent="0.15"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</row>
    <row r="95" spans="1:41" x14ac:dyDescent="0.15">
      <c r="A95" s="242" t="s">
        <v>66</v>
      </c>
      <c r="B95" s="243"/>
      <c r="C95" s="24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102"/>
      <c r="O95" s="102"/>
      <c r="P95" s="102"/>
      <c r="Q95" s="102"/>
      <c r="R95" s="102"/>
      <c r="S95" s="102" t="str">
        <f t="shared" ref="S95" si="18">S82</f>
        <v>Total</v>
      </c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</row>
    <row r="96" spans="1:41" ht="12" customHeight="1" x14ac:dyDescent="0.15">
      <c r="A96" s="174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9">
        <v>0</v>
      </c>
      <c r="O96" s="159"/>
      <c r="P96" s="159"/>
      <c r="Q96" s="159"/>
      <c r="R96" s="159"/>
      <c r="S96" s="85">
        <f>SUM(N96:R96)</f>
        <v>0</v>
      </c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</row>
    <row r="97" spans="1:41" x14ac:dyDescent="0.15">
      <c r="A97" s="174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9">
        <v>0</v>
      </c>
      <c r="O97" s="159"/>
      <c r="P97" s="159"/>
      <c r="Q97" s="159"/>
      <c r="R97" s="159"/>
      <c r="S97" s="85">
        <f t="shared" ref="S97:S124" si="19">SUM(N97:R97)</f>
        <v>0</v>
      </c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</row>
    <row r="98" spans="1:41" x14ac:dyDescent="0.15">
      <c r="A98" s="174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9">
        <v>0</v>
      </c>
      <c r="O98" s="159"/>
      <c r="P98" s="159"/>
      <c r="Q98" s="159"/>
      <c r="R98" s="159"/>
      <c r="S98" s="85">
        <f t="shared" si="19"/>
        <v>0</v>
      </c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</row>
    <row r="99" spans="1:41" hidden="1" x14ac:dyDescent="0.15">
      <c r="A99" s="174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9"/>
      <c r="O99" s="159"/>
      <c r="P99" s="159"/>
      <c r="Q99" s="159"/>
      <c r="R99" s="159"/>
      <c r="S99" s="85">
        <f t="shared" si="19"/>
        <v>0</v>
      </c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80"/>
      <c r="AK99" s="180"/>
      <c r="AL99" s="180"/>
      <c r="AM99" s="180"/>
      <c r="AN99" s="180"/>
      <c r="AO99" s="180"/>
    </row>
    <row r="100" spans="1:41" hidden="1" x14ac:dyDescent="0.15">
      <c r="A100" s="174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9"/>
      <c r="O100" s="159"/>
      <c r="P100" s="159"/>
      <c r="Q100" s="159"/>
      <c r="R100" s="159"/>
      <c r="S100" s="85">
        <f t="shared" si="19"/>
        <v>0</v>
      </c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80"/>
      <c r="AK100" s="180"/>
      <c r="AL100" s="180"/>
      <c r="AM100" s="180"/>
      <c r="AN100" s="180"/>
      <c r="AO100" s="180"/>
    </row>
    <row r="101" spans="1:41" hidden="1" x14ac:dyDescent="0.15">
      <c r="A101" s="174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9"/>
      <c r="O101" s="159"/>
      <c r="P101" s="159"/>
      <c r="Q101" s="159"/>
      <c r="R101" s="159"/>
      <c r="S101" s="85">
        <f t="shared" si="19"/>
        <v>0</v>
      </c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</row>
    <row r="102" spans="1:41" hidden="1" x14ac:dyDescent="0.15">
      <c r="A102" s="174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9"/>
      <c r="O102" s="159"/>
      <c r="P102" s="159"/>
      <c r="Q102" s="159"/>
      <c r="R102" s="159"/>
      <c r="S102" s="85">
        <f t="shared" si="19"/>
        <v>0</v>
      </c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</row>
    <row r="103" spans="1:41" hidden="1" x14ac:dyDescent="0.15">
      <c r="A103" s="174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9"/>
      <c r="O103" s="159"/>
      <c r="P103" s="159"/>
      <c r="Q103" s="159"/>
      <c r="R103" s="159"/>
      <c r="S103" s="85">
        <f t="shared" si="19"/>
        <v>0</v>
      </c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80"/>
      <c r="AK103" s="180"/>
      <c r="AL103" s="180"/>
      <c r="AM103" s="180"/>
      <c r="AN103" s="180"/>
      <c r="AO103" s="180"/>
    </row>
    <row r="104" spans="1:41" hidden="1" x14ac:dyDescent="0.15">
      <c r="A104" s="174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9"/>
      <c r="O104" s="159"/>
      <c r="P104" s="159"/>
      <c r="Q104" s="159"/>
      <c r="R104" s="159"/>
      <c r="S104" s="85">
        <f t="shared" si="19"/>
        <v>0</v>
      </c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</row>
    <row r="105" spans="1:41" hidden="1" x14ac:dyDescent="0.15">
      <c r="A105" s="174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9"/>
      <c r="O105" s="159"/>
      <c r="P105" s="159"/>
      <c r="Q105" s="159"/>
      <c r="R105" s="159"/>
      <c r="S105" s="85">
        <f t="shared" si="19"/>
        <v>0</v>
      </c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</row>
    <row r="106" spans="1:41" hidden="1" x14ac:dyDescent="0.15">
      <c r="A106" s="174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9"/>
      <c r="O106" s="159"/>
      <c r="P106" s="159"/>
      <c r="Q106" s="159"/>
      <c r="R106" s="159"/>
      <c r="S106" s="85">
        <f t="shared" si="19"/>
        <v>0</v>
      </c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</row>
    <row r="107" spans="1:41" hidden="1" x14ac:dyDescent="0.15">
      <c r="A107" s="174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9"/>
      <c r="O107" s="159"/>
      <c r="P107" s="159"/>
      <c r="Q107" s="159"/>
      <c r="R107" s="159"/>
      <c r="S107" s="85">
        <f t="shared" si="19"/>
        <v>0</v>
      </c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</row>
    <row r="108" spans="1:41" hidden="1" x14ac:dyDescent="0.15">
      <c r="A108" s="174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9"/>
      <c r="O108" s="159"/>
      <c r="P108" s="159"/>
      <c r="Q108" s="159"/>
      <c r="R108" s="159"/>
      <c r="S108" s="85">
        <f t="shared" si="19"/>
        <v>0</v>
      </c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</row>
    <row r="109" spans="1:41" hidden="1" x14ac:dyDescent="0.15">
      <c r="A109" s="174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9"/>
      <c r="O109" s="159"/>
      <c r="P109" s="159"/>
      <c r="Q109" s="159"/>
      <c r="R109" s="159"/>
      <c r="S109" s="85">
        <f t="shared" si="19"/>
        <v>0</v>
      </c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</row>
    <row r="110" spans="1:41" hidden="1" x14ac:dyDescent="0.15">
      <c r="A110" s="174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9"/>
      <c r="O110" s="159"/>
      <c r="P110" s="159"/>
      <c r="Q110" s="159"/>
      <c r="R110" s="159"/>
      <c r="S110" s="85">
        <f t="shared" si="19"/>
        <v>0</v>
      </c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</row>
    <row r="111" spans="1:41" hidden="1" x14ac:dyDescent="0.15">
      <c r="A111" s="174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9"/>
      <c r="O111" s="159"/>
      <c r="P111" s="159"/>
      <c r="Q111" s="159"/>
      <c r="R111" s="159"/>
      <c r="S111" s="85">
        <f t="shared" si="19"/>
        <v>0</v>
      </c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</row>
    <row r="112" spans="1:41" hidden="1" x14ac:dyDescent="0.15">
      <c r="A112" s="174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9"/>
      <c r="O112" s="159"/>
      <c r="P112" s="159"/>
      <c r="Q112" s="159"/>
      <c r="R112" s="159"/>
      <c r="S112" s="85">
        <f t="shared" si="19"/>
        <v>0</v>
      </c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</row>
    <row r="113" spans="1:41" hidden="1" x14ac:dyDescent="0.15">
      <c r="A113" s="174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9"/>
      <c r="O113" s="159"/>
      <c r="P113" s="159"/>
      <c r="Q113" s="159"/>
      <c r="R113" s="159"/>
      <c r="S113" s="85">
        <f t="shared" si="19"/>
        <v>0</v>
      </c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</row>
    <row r="114" spans="1:41" hidden="1" x14ac:dyDescent="0.15">
      <c r="A114" s="174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9"/>
      <c r="O114" s="159"/>
      <c r="P114" s="159"/>
      <c r="Q114" s="159"/>
      <c r="R114" s="159"/>
      <c r="S114" s="85">
        <f t="shared" si="19"/>
        <v>0</v>
      </c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</row>
    <row r="115" spans="1:41" hidden="1" x14ac:dyDescent="0.15">
      <c r="A115" s="174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9"/>
      <c r="O115" s="159"/>
      <c r="P115" s="159"/>
      <c r="Q115" s="159"/>
      <c r="R115" s="159"/>
      <c r="S115" s="85">
        <f t="shared" si="19"/>
        <v>0</v>
      </c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</row>
    <row r="116" spans="1:41" hidden="1" x14ac:dyDescent="0.15">
      <c r="A116" s="174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9"/>
      <c r="O116" s="159"/>
      <c r="P116" s="159"/>
      <c r="Q116" s="159"/>
      <c r="R116" s="159"/>
      <c r="S116" s="85">
        <f t="shared" si="19"/>
        <v>0</v>
      </c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</row>
    <row r="117" spans="1:41" hidden="1" x14ac:dyDescent="0.15">
      <c r="A117" s="174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9"/>
      <c r="O117" s="159"/>
      <c r="P117" s="159"/>
      <c r="Q117" s="159"/>
      <c r="R117" s="159"/>
      <c r="S117" s="85">
        <f t="shared" si="19"/>
        <v>0</v>
      </c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</row>
    <row r="118" spans="1:41" hidden="1" x14ac:dyDescent="0.15">
      <c r="A118" s="174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9"/>
      <c r="O118" s="159"/>
      <c r="P118" s="159"/>
      <c r="Q118" s="159"/>
      <c r="R118" s="159"/>
      <c r="S118" s="85">
        <f t="shared" si="19"/>
        <v>0</v>
      </c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</row>
    <row r="119" spans="1:41" hidden="1" x14ac:dyDescent="0.15">
      <c r="A119" s="174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9"/>
      <c r="O119" s="159"/>
      <c r="P119" s="159"/>
      <c r="Q119" s="159"/>
      <c r="R119" s="159"/>
      <c r="S119" s="85">
        <f t="shared" si="19"/>
        <v>0</v>
      </c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</row>
    <row r="120" spans="1:41" hidden="1" x14ac:dyDescent="0.15">
      <c r="A120" s="174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9"/>
      <c r="O120" s="159"/>
      <c r="P120" s="159"/>
      <c r="Q120" s="159"/>
      <c r="R120" s="159"/>
      <c r="S120" s="85">
        <f t="shared" si="19"/>
        <v>0</v>
      </c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</row>
    <row r="121" spans="1:41" hidden="1" x14ac:dyDescent="0.15">
      <c r="A121" s="174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9"/>
      <c r="O121" s="159"/>
      <c r="P121" s="159"/>
      <c r="Q121" s="159"/>
      <c r="R121" s="159"/>
      <c r="S121" s="85">
        <f t="shared" si="19"/>
        <v>0</v>
      </c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</row>
    <row r="122" spans="1:41" hidden="1" x14ac:dyDescent="0.15">
      <c r="A122" s="174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9"/>
      <c r="O122" s="159"/>
      <c r="P122" s="159"/>
      <c r="Q122" s="159"/>
      <c r="R122" s="159"/>
      <c r="S122" s="85">
        <f t="shared" si="19"/>
        <v>0</v>
      </c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</row>
    <row r="123" spans="1:41" hidden="1" x14ac:dyDescent="0.15">
      <c r="A123" s="174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9"/>
      <c r="O123" s="159"/>
      <c r="P123" s="159"/>
      <c r="Q123" s="159"/>
      <c r="R123" s="159"/>
      <c r="S123" s="85">
        <f t="shared" si="19"/>
        <v>0</v>
      </c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</row>
    <row r="124" spans="1:41" hidden="1" x14ac:dyDescent="0.15">
      <c r="A124" s="174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9"/>
      <c r="O124" s="159"/>
      <c r="P124" s="159"/>
      <c r="Q124" s="159"/>
      <c r="R124" s="159"/>
      <c r="S124" s="85">
        <f t="shared" si="19"/>
        <v>0</v>
      </c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</row>
    <row r="125" spans="1:41" x14ac:dyDescent="0.15">
      <c r="A125" s="251" t="s">
        <v>67</v>
      </c>
      <c r="B125" s="252"/>
      <c r="C125" s="252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6">
        <f t="shared" ref="N125:S125" si="20">SUM(N96:N124)</f>
        <v>0</v>
      </c>
      <c r="O125" s="126">
        <f t="shared" si="20"/>
        <v>0</v>
      </c>
      <c r="P125" s="126">
        <f t="shared" si="20"/>
        <v>0</v>
      </c>
      <c r="Q125" s="126">
        <f t="shared" si="20"/>
        <v>0</v>
      </c>
      <c r="R125" s="126">
        <f t="shared" si="20"/>
        <v>0</v>
      </c>
      <c r="S125" s="126">
        <f t="shared" si="20"/>
        <v>0</v>
      </c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80"/>
      <c r="AM125" s="180"/>
      <c r="AN125" s="180"/>
      <c r="AO125" s="180"/>
    </row>
    <row r="126" spans="1:41" x14ac:dyDescent="0.15"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</row>
    <row r="127" spans="1:41" hidden="1" x14ac:dyDescent="0.15">
      <c r="A127" s="242" t="s">
        <v>68</v>
      </c>
      <c r="B127" s="243"/>
      <c r="C127" s="243"/>
      <c r="D127" s="54"/>
      <c r="E127" s="54"/>
      <c r="F127" s="54"/>
      <c r="G127" s="54"/>
      <c r="H127" s="54"/>
      <c r="I127" s="54"/>
      <c r="J127" s="54"/>
      <c r="K127" s="296"/>
      <c r="L127" s="297"/>
      <c r="M127" s="298"/>
      <c r="N127" s="212"/>
      <c r="O127" s="102"/>
      <c r="P127" s="102"/>
      <c r="Q127" s="102"/>
      <c r="R127" s="102"/>
      <c r="S127" s="102" t="str">
        <f>S95</f>
        <v>Total</v>
      </c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</row>
    <row r="128" spans="1:41" hidden="1" x14ac:dyDescent="0.15">
      <c r="A128" s="174"/>
      <c r="B128" s="157"/>
      <c r="C128" s="157"/>
      <c r="D128" s="157"/>
      <c r="E128" s="157"/>
      <c r="F128" s="157"/>
      <c r="G128" s="157"/>
      <c r="H128" s="157"/>
      <c r="I128" s="157"/>
      <c r="J128" s="157"/>
      <c r="K128" s="239"/>
      <c r="L128" s="240"/>
      <c r="M128" s="241"/>
      <c r="N128" s="158"/>
      <c r="O128" s="158"/>
      <c r="P128" s="158"/>
      <c r="Q128" s="160"/>
      <c r="R128" s="160"/>
      <c r="S128" s="85">
        <f>SUM(N128:R128)</f>
        <v>0</v>
      </c>
      <c r="T128" s="189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</row>
    <row r="129" spans="1:41" hidden="1" x14ac:dyDescent="0.15">
      <c r="A129" s="174"/>
      <c r="B129" s="157"/>
      <c r="C129" s="157"/>
      <c r="D129" s="157"/>
      <c r="E129" s="157"/>
      <c r="F129" s="157"/>
      <c r="G129" s="157"/>
      <c r="H129" s="157"/>
      <c r="I129" s="157"/>
      <c r="J129" s="157"/>
      <c r="K129" s="239"/>
      <c r="L129" s="240"/>
      <c r="M129" s="241"/>
      <c r="N129" s="158"/>
      <c r="O129" s="158"/>
      <c r="P129" s="158"/>
      <c r="Q129" s="160"/>
      <c r="R129" s="160"/>
      <c r="S129" s="85">
        <f t="shared" ref="S129:S142" si="21">SUM(N129:R129)</f>
        <v>0</v>
      </c>
      <c r="T129" s="189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</row>
    <row r="130" spans="1:41" hidden="1" x14ac:dyDescent="0.15">
      <c r="A130" s="174"/>
      <c r="B130" s="157"/>
      <c r="C130" s="157"/>
      <c r="D130" s="157"/>
      <c r="E130" s="157"/>
      <c r="F130" s="157"/>
      <c r="G130" s="157"/>
      <c r="H130" s="157"/>
      <c r="I130" s="157"/>
      <c r="J130" s="157"/>
      <c r="K130" s="239" t="s">
        <v>183</v>
      </c>
      <c r="L130" s="240"/>
      <c r="M130" s="241"/>
      <c r="N130" s="160"/>
      <c r="O130" s="160"/>
      <c r="P130" s="160"/>
      <c r="Q130" s="160"/>
      <c r="R130" s="160"/>
      <c r="S130" s="85">
        <f t="shared" si="21"/>
        <v>0</v>
      </c>
      <c r="T130" s="189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</row>
    <row r="131" spans="1:41" hidden="1" x14ac:dyDescent="0.15">
      <c r="A131" s="174"/>
      <c r="B131" s="157"/>
      <c r="C131" s="157"/>
      <c r="D131" s="157"/>
      <c r="E131" s="157"/>
      <c r="F131" s="157"/>
      <c r="G131" s="157"/>
      <c r="H131" s="157"/>
      <c r="I131" s="157"/>
      <c r="J131" s="157"/>
      <c r="K131" s="239" t="s">
        <v>183</v>
      </c>
      <c r="L131" s="240"/>
      <c r="M131" s="241"/>
      <c r="N131" s="160"/>
      <c r="O131" s="160"/>
      <c r="P131" s="160"/>
      <c r="Q131" s="160"/>
      <c r="R131" s="160"/>
      <c r="S131" s="85">
        <f t="shared" si="21"/>
        <v>0</v>
      </c>
      <c r="T131" s="189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80"/>
      <c r="AN131" s="180"/>
      <c r="AO131" s="180"/>
    </row>
    <row r="132" spans="1:41" hidden="1" x14ac:dyDescent="0.15">
      <c r="A132" s="174"/>
      <c r="B132" s="157"/>
      <c r="C132" s="157"/>
      <c r="D132" s="157"/>
      <c r="E132" s="157"/>
      <c r="F132" s="157"/>
      <c r="G132" s="157"/>
      <c r="H132" s="157"/>
      <c r="I132" s="157"/>
      <c r="J132" s="157"/>
      <c r="K132" s="239" t="s">
        <v>183</v>
      </c>
      <c r="L132" s="240"/>
      <c r="M132" s="241"/>
      <c r="N132" s="160"/>
      <c r="O132" s="160"/>
      <c r="P132" s="160"/>
      <c r="Q132" s="160"/>
      <c r="R132" s="160"/>
      <c r="S132" s="85">
        <f t="shared" si="21"/>
        <v>0</v>
      </c>
      <c r="T132" s="189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</row>
    <row r="133" spans="1:41" hidden="1" x14ac:dyDescent="0.15">
      <c r="A133" s="174"/>
      <c r="B133" s="157"/>
      <c r="C133" s="157"/>
      <c r="D133" s="157"/>
      <c r="E133" s="157"/>
      <c r="F133" s="157"/>
      <c r="G133" s="157"/>
      <c r="H133" s="157"/>
      <c r="I133" s="157"/>
      <c r="J133" s="157"/>
      <c r="K133" s="239" t="s">
        <v>183</v>
      </c>
      <c r="L133" s="240"/>
      <c r="M133" s="241"/>
      <c r="N133" s="160"/>
      <c r="O133" s="160"/>
      <c r="P133" s="160"/>
      <c r="Q133" s="160"/>
      <c r="R133" s="160"/>
      <c r="S133" s="85">
        <f t="shared" si="21"/>
        <v>0</v>
      </c>
      <c r="T133" s="189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</row>
    <row r="134" spans="1:41" hidden="1" x14ac:dyDescent="0.15">
      <c r="A134" s="174"/>
      <c r="B134" s="157"/>
      <c r="C134" s="157"/>
      <c r="D134" s="157"/>
      <c r="E134" s="157"/>
      <c r="F134" s="157"/>
      <c r="G134" s="157"/>
      <c r="H134" s="157"/>
      <c r="I134" s="157"/>
      <c r="J134" s="157"/>
      <c r="K134" s="239" t="s">
        <v>183</v>
      </c>
      <c r="L134" s="240"/>
      <c r="M134" s="241"/>
      <c r="N134" s="160"/>
      <c r="O134" s="160"/>
      <c r="P134" s="160"/>
      <c r="Q134" s="160"/>
      <c r="R134" s="160"/>
      <c r="S134" s="85">
        <f t="shared" si="21"/>
        <v>0</v>
      </c>
      <c r="T134" s="189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</row>
    <row r="135" spans="1:41" hidden="1" x14ac:dyDescent="0.15">
      <c r="A135" s="174"/>
      <c r="B135" s="157"/>
      <c r="C135" s="157"/>
      <c r="D135" s="157"/>
      <c r="E135" s="157"/>
      <c r="F135" s="157"/>
      <c r="G135" s="157"/>
      <c r="H135" s="157"/>
      <c r="I135" s="157"/>
      <c r="J135" s="157"/>
      <c r="K135" s="239" t="s">
        <v>183</v>
      </c>
      <c r="L135" s="240"/>
      <c r="M135" s="241"/>
      <c r="N135" s="160"/>
      <c r="O135" s="160"/>
      <c r="P135" s="160"/>
      <c r="Q135" s="160"/>
      <c r="R135" s="160"/>
      <c r="S135" s="85">
        <f t="shared" si="21"/>
        <v>0</v>
      </c>
      <c r="T135" s="189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</row>
    <row r="136" spans="1:41" hidden="1" x14ac:dyDescent="0.15">
      <c r="A136" s="174"/>
      <c r="B136" s="157"/>
      <c r="C136" s="157"/>
      <c r="D136" s="157"/>
      <c r="E136" s="157"/>
      <c r="F136" s="157"/>
      <c r="G136" s="157"/>
      <c r="H136" s="157"/>
      <c r="I136" s="157"/>
      <c r="J136" s="157"/>
      <c r="K136" s="239" t="s">
        <v>183</v>
      </c>
      <c r="L136" s="240"/>
      <c r="M136" s="241"/>
      <c r="N136" s="160"/>
      <c r="O136" s="160"/>
      <c r="P136" s="160"/>
      <c r="Q136" s="160"/>
      <c r="R136" s="160"/>
      <c r="S136" s="85">
        <f t="shared" si="21"/>
        <v>0</v>
      </c>
      <c r="T136" s="189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</row>
    <row r="137" spans="1:41" hidden="1" x14ac:dyDescent="0.15">
      <c r="A137" s="174"/>
      <c r="B137" s="157"/>
      <c r="C137" s="157"/>
      <c r="D137" s="157"/>
      <c r="E137" s="157"/>
      <c r="F137" s="157"/>
      <c r="G137" s="157"/>
      <c r="H137" s="157"/>
      <c r="I137" s="157"/>
      <c r="J137" s="157"/>
      <c r="K137" s="239" t="s">
        <v>183</v>
      </c>
      <c r="L137" s="240"/>
      <c r="M137" s="241"/>
      <c r="N137" s="160"/>
      <c r="O137" s="160"/>
      <c r="P137" s="160"/>
      <c r="Q137" s="160"/>
      <c r="R137" s="160"/>
      <c r="S137" s="85">
        <f t="shared" si="21"/>
        <v>0</v>
      </c>
      <c r="T137" s="189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</row>
    <row r="138" spans="1:41" hidden="1" x14ac:dyDescent="0.15">
      <c r="A138" s="174"/>
      <c r="B138" s="157"/>
      <c r="C138" s="157"/>
      <c r="D138" s="157"/>
      <c r="E138" s="157"/>
      <c r="F138" s="157"/>
      <c r="G138" s="157"/>
      <c r="H138" s="157"/>
      <c r="I138" s="157"/>
      <c r="J138" s="157"/>
      <c r="K138" s="239" t="s">
        <v>183</v>
      </c>
      <c r="L138" s="240"/>
      <c r="M138" s="241"/>
      <c r="N138" s="160"/>
      <c r="O138" s="160"/>
      <c r="P138" s="160"/>
      <c r="Q138" s="160"/>
      <c r="R138" s="160"/>
      <c r="S138" s="85">
        <f t="shared" si="21"/>
        <v>0</v>
      </c>
      <c r="T138" s="189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</row>
    <row r="139" spans="1:41" hidden="1" x14ac:dyDescent="0.15">
      <c r="A139" s="174"/>
      <c r="B139" s="157"/>
      <c r="C139" s="157"/>
      <c r="D139" s="157"/>
      <c r="E139" s="157"/>
      <c r="F139" s="157"/>
      <c r="G139" s="157"/>
      <c r="H139" s="157"/>
      <c r="I139" s="157"/>
      <c r="J139" s="157"/>
      <c r="K139" s="239" t="s">
        <v>183</v>
      </c>
      <c r="L139" s="240"/>
      <c r="M139" s="241"/>
      <c r="N139" s="160"/>
      <c r="O139" s="160"/>
      <c r="P139" s="160"/>
      <c r="Q139" s="160"/>
      <c r="R139" s="160"/>
      <c r="S139" s="85">
        <f t="shared" si="21"/>
        <v>0</v>
      </c>
      <c r="T139" s="189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0"/>
      <c r="AL139" s="180"/>
      <c r="AM139" s="180"/>
      <c r="AN139" s="180"/>
      <c r="AO139" s="180"/>
    </row>
    <row r="140" spans="1:41" hidden="1" x14ac:dyDescent="0.15">
      <c r="A140" s="174"/>
      <c r="B140" s="157"/>
      <c r="C140" s="157"/>
      <c r="D140" s="157"/>
      <c r="E140" s="157"/>
      <c r="F140" s="157"/>
      <c r="G140" s="157"/>
      <c r="H140" s="157"/>
      <c r="I140" s="157"/>
      <c r="J140" s="157"/>
      <c r="K140" s="239" t="s">
        <v>183</v>
      </c>
      <c r="L140" s="240"/>
      <c r="M140" s="241"/>
      <c r="N140" s="160"/>
      <c r="O140" s="160"/>
      <c r="P140" s="160"/>
      <c r="Q140" s="160"/>
      <c r="R140" s="160"/>
      <c r="S140" s="85">
        <f t="shared" si="21"/>
        <v>0</v>
      </c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</row>
    <row r="141" spans="1:41" hidden="1" x14ac:dyDescent="0.15">
      <c r="A141" s="174"/>
      <c r="B141" s="157"/>
      <c r="C141" s="157"/>
      <c r="D141" s="157"/>
      <c r="E141" s="157"/>
      <c r="F141" s="157"/>
      <c r="G141" s="157"/>
      <c r="H141" s="157"/>
      <c r="I141" s="157"/>
      <c r="J141" s="157"/>
      <c r="K141" s="239" t="s">
        <v>183</v>
      </c>
      <c r="L141" s="240"/>
      <c r="M141" s="241"/>
      <c r="N141" s="160"/>
      <c r="O141" s="160"/>
      <c r="P141" s="160"/>
      <c r="Q141" s="160"/>
      <c r="R141" s="160"/>
      <c r="S141" s="85">
        <f t="shared" si="21"/>
        <v>0</v>
      </c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80"/>
      <c r="AN141" s="180"/>
      <c r="AO141" s="180"/>
    </row>
    <row r="142" spans="1:41" hidden="1" x14ac:dyDescent="0.15">
      <c r="A142" s="174"/>
      <c r="B142" s="157"/>
      <c r="C142" s="157"/>
      <c r="D142" s="157"/>
      <c r="E142" s="157"/>
      <c r="F142" s="157"/>
      <c r="G142" s="157"/>
      <c r="H142" s="157"/>
      <c r="I142" s="157"/>
      <c r="J142" s="157"/>
      <c r="K142" s="239" t="s">
        <v>183</v>
      </c>
      <c r="L142" s="240"/>
      <c r="M142" s="241"/>
      <c r="N142" s="160"/>
      <c r="O142" s="160"/>
      <c r="P142" s="160"/>
      <c r="Q142" s="160"/>
      <c r="R142" s="160"/>
      <c r="S142" s="85">
        <f t="shared" si="21"/>
        <v>0</v>
      </c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</row>
    <row r="143" spans="1:41" hidden="1" x14ac:dyDescent="0.15">
      <c r="A143" s="251" t="s">
        <v>69</v>
      </c>
      <c r="B143" s="252"/>
      <c r="C143" s="252"/>
      <c r="D143" s="124"/>
      <c r="E143" s="124"/>
      <c r="F143" s="124"/>
      <c r="G143" s="124"/>
      <c r="H143" s="124"/>
      <c r="I143" s="124"/>
      <c r="J143" s="124"/>
      <c r="K143" s="127"/>
      <c r="L143" s="124"/>
      <c r="M143" s="128"/>
      <c r="N143" s="126">
        <v>0</v>
      </c>
      <c r="O143" s="197">
        <f t="shared" ref="O143" si="22">SUM(O128:O142)</f>
        <v>0</v>
      </c>
      <c r="P143" s="197">
        <f t="shared" ref="P143" si="23">SUM(P128:P142)</f>
        <v>0</v>
      </c>
      <c r="Q143" s="126">
        <f t="shared" ref="Q143" si="24">SUM(Q128:Q142)</f>
        <v>0</v>
      </c>
      <c r="R143" s="126">
        <f t="shared" ref="R143" si="25">SUM(R128:R142)</f>
        <v>0</v>
      </c>
      <c r="S143" s="126">
        <f>SUM(S128:S142)</f>
        <v>0</v>
      </c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</row>
    <row r="144" spans="1:41" hidden="1" x14ac:dyDescent="0.15">
      <c r="A144" s="293" t="s">
        <v>173</v>
      </c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5"/>
      <c r="N144" s="197">
        <v>0</v>
      </c>
      <c r="O144" s="120">
        <f t="shared" ref="O144:R144" si="26">IF($K128="IC of Above",O128,0)+IF($K129="IC of Above",O129,0)+IF($K130="IC of Above",O130,0)+IF($K131="IC of Above",O131,0)+IF($K132="IC of Above",O132,0)+IF($K133="IC of Above",O133,0)+IF($K134="IC of Above",O134,0)+IF($K135="IC of Above",O135,0)+IF($K136="IC of Above",O136,0)+IF($K137="IC of Above",O137,0)+IF($K138="IC of Above",O138,0)+IF($K139="IC of Above",O139,0)+IF($K140="IC of Above",O140,0)+IF($K141="IC of Above",O141,0)+IF($K142="IC of Above",O142,0)</f>
        <v>0</v>
      </c>
      <c r="P144" s="120">
        <f t="shared" si="26"/>
        <v>0</v>
      </c>
      <c r="Q144" s="120">
        <f t="shared" si="26"/>
        <v>0</v>
      </c>
      <c r="R144" s="120">
        <f t="shared" si="26"/>
        <v>0</v>
      </c>
      <c r="S144" s="120">
        <f>SUM(N144:R144)</f>
        <v>0</v>
      </c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80"/>
      <c r="AL144" s="180"/>
      <c r="AM144" s="180"/>
      <c r="AN144" s="180"/>
      <c r="AO144" s="180"/>
    </row>
    <row r="145" spans="1:41" hidden="1" x14ac:dyDescent="0.15">
      <c r="A145" s="200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121"/>
      <c r="O145" s="121"/>
      <c r="P145" s="121"/>
      <c r="Q145" s="121"/>
      <c r="R145" s="121"/>
      <c r="S145" s="121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80"/>
      <c r="AL145" s="180"/>
      <c r="AM145" s="180"/>
      <c r="AN145" s="180"/>
      <c r="AO145" s="180"/>
    </row>
    <row r="146" spans="1:41" x14ac:dyDescent="0.15">
      <c r="A146" s="99" t="s">
        <v>70</v>
      </c>
      <c r="B146" s="100"/>
      <c r="C146" s="10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211"/>
      <c r="O146" s="102"/>
      <c r="P146" s="102"/>
      <c r="Q146" s="102"/>
      <c r="R146" s="102"/>
      <c r="S146" s="102" t="str">
        <f t="shared" ref="S146" si="27">S127</f>
        <v>Total</v>
      </c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</row>
    <row r="147" spans="1:41" x14ac:dyDescent="0.15">
      <c r="A147" s="174"/>
      <c r="B147" s="157" t="s">
        <v>205</v>
      </c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68">
        <v>2200</v>
      </c>
      <c r="O147" s="168"/>
      <c r="P147" s="168"/>
      <c r="Q147" s="168"/>
      <c r="R147" s="168"/>
      <c r="S147" s="89">
        <f>SUM(N147:R147)</f>
        <v>2200</v>
      </c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</row>
    <row r="148" spans="1:41" x14ac:dyDescent="0.15">
      <c r="A148" s="174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68">
        <v>0</v>
      </c>
      <c r="O148" s="168"/>
      <c r="P148" s="168"/>
      <c r="Q148" s="168"/>
      <c r="R148" s="168"/>
      <c r="S148" s="89">
        <f t="shared" ref="S148:S152" si="28">SUM(N148:R148)</f>
        <v>0</v>
      </c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</row>
    <row r="149" spans="1:41" x14ac:dyDescent="0.15">
      <c r="A149" s="174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8">
        <v>0</v>
      </c>
      <c r="O149" s="158"/>
      <c r="P149" s="158"/>
      <c r="Q149" s="168"/>
      <c r="R149" s="168"/>
      <c r="S149" s="89">
        <f t="shared" si="28"/>
        <v>0</v>
      </c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</row>
    <row r="150" spans="1:41" x14ac:dyDescent="0.15">
      <c r="A150" s="174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8">
        <v>0</v>
      </c>
      <c r="O150" s="158"/>
      <c r="P150" s="158"/>
      <c r="Q150" s="168"/>
      <c r="R150" s="168"/>
      <c r="S150" s="89">
        <f t="shared" si="28"/>
        <v>0</v>
      </c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</row>
    <row r="151" spans="1:41" x14ac:dyDescent="0.15">
      <c r="A151" s="174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68">
        <v>0</v>
      </c>
      <c r="O151" s="168"/>
      <c r="P151" s="168"/>
      <c r="Q151" s="168"/>
      <c r="R151" s="168"/>
      <c r="S151" s="86">
        <f t="shared" si="28"/>
        <v>0</v>
      </c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</row>
    <row r="152" spans="1:41" x14ac:dyDescent="0.15">
      <c r="A152" s="174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68">
        <v>0</v>
      </c>
      <c r="O152" s="168"/>
      <c r="P152" s="168"/>
      <c r="Q152" s="168"/>
      <c r="R152" s="168"/>
      <c r="S152" s="86">
        <f t="shared" si="28"/>
        <v>0</v>
      </c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</row>
    <row r="153" spans="1:41" x14ac:dyDescent="0.15">
      <c r="A153" s="129" t="s">
        <v>71</v>
      </c>
      <c r="B153" s="130"/>
      <c r="C153" s="130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31">
        <f>SUM(N147:N152)</f>
        <v>2200</v>
      </c>
      <c r="O153" s="131"/>
      <c r="P153" s="131"/>
      <c r="Q153" s="131">
        <f>SUM(Q147:Q152)</f>
        <v>0</v>
      </c>
      <c r="R153" s="131">
        <f>SUM(R147:R152)</f>
        <v>0</v>
      </c>
      <c r="S153" s="132">
        <f>SUM(S147:S152)</f>
        <v>2200</v>
      </c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41" x14ac:dyDescent="0.15">
      <c r="A154" s="95" t="s">
        <v>72</v>
      </c>
      <c r="B154" s="96"/>
      <c r="C154" s="96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88">
        <f>SUM(N153+N143)</f>
        <v>2200</v>
      </c>
      <c r="O154" s="88">
        <f>O143+O153</f>
        <v>0</v>
      </c>
      <c r="P154" s="88">
        <f>P143+P153</f>
        <v>0</v>
      </c>
      <c r="Q154" s="88">
        <f>Q143+Q153</f>
        <v>0</v>
      </c>
      <c r="R154" s="88">
        <f>R143+R153</f>
        <v>0</v>
      </c>
      <c r="S154" s="90">
        <f>S143+S153</f>
        <v>2200</v>
      </c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</row>
    <row r="155" spans="1:41" x14ac:dyDescent="0.15"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</row>
    <row r="156" spans="1:41" hidden="1" x14ac:dyDescent="0.15">
      <c r="A156" s="242" t="s">
        <v>73</v>
      </c>
      <c r="B156" s="243"/>
      <c r="C156" s="243"/>
      <c r="D156" s="49"/>
      <c r="E156" s="49"/>
      <c r="F156" s="49"/>
      <c r="G156" s="49"/>
      <c r="H156" s="49"/>
      <c r="I156" s="49"/>
      <c r="J156" s="49"/>
      <c r="K156" s="49"/>
      <c r="L156" s="49"/>
      <c r="M156" s="57"/>
      <c r="N156" s="102" t="s">
        <v>129</v>
      </c>
      <c r="O156" s="102" t="s">
        <v>130</v>
      </c>
      <c r="P156" s="102" t="s">
        <v>131</v>
      </c>
      <c r="Q156" s="102" t="s">
        <v>134</v>
      </c>
      <c r="R156" s="102" t="s">
        <v>132</v>
      </c>
      <c r="S156" s="102" t="s">
        <v>12</v>
      </c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</row>
    <row r="157" spans="1:41" hidden="1" x14ac:dyDescent="0.15">
      <c r="A157" s="58" t="s">
        <v>76</v>
      </c>
      <c r="B157" s="83"/>
      <c r="C157" s="83"/>
      <c r="D157" s="114" t="s">
        <v>154</v>
      </c>
      <c r="E157" s="59"/>
      <c r="F157" s="115" t="s">
        <v>128</v>
      </c>
      <c r="G157" s="49"/>
      <c r="H157" s="49"/>
      <c r="I157" s="50" t="s">
        <v>147</v>
      </c>
      <c r="J157" s="50" t="s">
        <v>148</v>
      </c>
      <c r="K157" s="50" t="s">
        <v>149</v>
      </c>
      <c r="L157" s="50" t="s">
        <v>150</v>
      </c>
      <c r="M157" s="50" t="s">
        <v>151</v>
      </c>
      <c r="N157" s="70" t="s">
        <v>77</v>
      </c>
      <c r="O157" s="54"/>
      <c r="P157" s="54"/>
      <c r="Q157" s="54"/>
      <c r="R157" s="54"/>
      <c r="S157" s="56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</row>
    <row r="158" spans="1:41" hidden="1" x14ac:dyDescent="0.15">
      <c r="A158" s="288" t="s">
        <v>153</v>
      </c>
      <c r="B158" s="289"/>
      <c r="C158" s="290"/>
      <c r="D158" s="286" t="s">
        <v>167</v>
      </c>
      <c r="E158" s="287"/>
      <c r="F158" s="163" t="s">
        <v>182</v>
      </c>
      <c r="G158" s="291" t="s">
        <v>155</v>
      </c>
      <c r="H158" s="292"/>
      <c r="I158" s="164" t="s">
        <v>152</v>
      </c>
      <c r="J158" s="164" t="s">
        <v>152</v>
      </c>
      <c r="K158" s="164" t="s">
        <v>152</v>
      </c>
      <c r="L158" s="164" t="s">
        <v>152</v>
      </c>
      <c r="M158" s="164" t="s">
        <v>152</v>
      </c>
      <c r="N158" s="136">
        <f>SUM(N159:N170)</f>
        <v>0</v>
      </c>
      <c r="O158" s="136">
        <f t="shared" ref="O158:R158" si="29">SUM(O159:O170)</f>
        <v>0</v>
      </c>
      <c r="P158" s="136">
        <f t="shared" si="29"/>
        <v>0</v>
      </c>
      <c r="Q158" s="136">
        <f>SUM(Q159:Q170)</f>
        <v>0</v>
      </c>
      <c r="R158" s="136">
        <f t="shared" si="29"/>
        <v>0</v>
      </c>
      <c r="S158" s="137">
        <f>SUM(N158:R158)</f>
        <v>0</v>
      </c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</row>
    <row r="159" spans="1:41" hidden="1" x14ac:dyDescent="0.15">
      <c r="A159" s="253"/>
      <c r="B159" s="263"/>
      <c r="C159" s="254"/>
      <c r="D159" s="253" t="s">
        <v>74</v>
      </c>
      <c r="E159" s="254"/>
      <c r="F159" s="161">
        <v>0.1</v>
      </c>
      <c r="G159" s="266">
        <v>17587</v>
      </c>
      <c r="H159" s="267"/>
      <c r="I159" s="162"/>
      <c r="J159" s="162"/>
      <c r="K159" s="162"/>
      <c r="L159" s="162"/>
      <c r="M159" s="162"/>
      <c r="N159" s="63">
        <f>IF(I$158="#GSRs",ROUND((Worksheet!K162*I159)/3*Worksheet!C$30,0),ROUND(Request!I159/3*Worksheet!K162,0))</f>
        <v>0</v>
      </c>
      <c r="O159" s="63">
        <f>IF(J$158="#GSRs",ROUND((Worksheet!L162*J159)/3*Worksheet!D$30,0),ROUND(Request!J159/3*Worksheet!L162,0))</f>
        <v>0</v>
      </c>
      <c r="P159" s="63">
        <f>IF(K$158="#GSRs",ROUND((Worksheet!M162*K159)/3*Worksheet!E$30,0),ROUND(Request!K159/3*Worksheet!M162,0))</f>
        <v>0</v>
      </c>
      <c r="Q159" s="63">
        <f>IF(L$158="#GSRs",ROUND((Worksheet!N162*L159)/3*Worksheet!F$30,0),ROUND(Request!L159/3*Worksheet!N162,0))</f>
        <v>0</v>
      </c>
      <c r="R159" s="63">
        <f>IF(M$158="#GSRs",ROUND((Worksheet!O162*M159)/3*Worksheet!G$30,0),ROUND(Request!M159/3*Worksheet!O162,0))</f>
        <v>0</v>
      </c>
      <c r="S159" s="63">
        <f>SUM(N159:R159)</f>
        <v>0</v>
      </c>
      <c r="T159" s="187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</row>
    <row r="160" spans="1:41" hidden="1" x14ac:dyDescent="0.15">
      <c r="A160" s="253"/>
      <c r="B160" s="263"/>
      <c r="C160" s="254"/>
      <c r="D160" s="253" t="s">
        <v>74</v>
      </c>
      <c r="E160" s="254"/>
      <c r="F160" s="161">
        <v>0.1</v>
      </c>
      <c r="G160" s="266">
        <v>17587</v>
      </c>
      <c r="H160" s="267"/>
      <c r="I160" s="162"/>
      <c r="J160" s="162"/>
      <c r="K160" s="162"/>
      <c r="L160" s="162"/>
      <c r="M160" s="162"/>
      <c r="N160" s="63">
        <f>IF(I$158="#GSRs",ROUND((Worksheet!K163*I160)/3*Worksheet!C$30,0),ROUND(Request!I160/3*Worksheet!K163,0))</f>
        <v>0</v>
      </c>
      <c r="O160" s="63">
        <f>IF(J$158="#GSRs",ROUND((Worksheet!L163*J160)/3*Worksheet!D$30,0),ROUND(Request!J160/3*Worksheet!L163,0))</f>
        <v>0</v>
      </c>
      <c r="P160" s="63">
        <f>IF(K$158="#GSRs",ROUND((Worksheet!M163*K160)/3*Worksheet!E$30,0),ROUND(Request!K160/3*Worksheet!M163,0))</f>
        <v>0</v>
      </c>
      <c r="Q160" s="63">
        <f>IF(L$158="#GSRs",ROUND((Worksheet!N163*L160)/3*Worksheet!F$30,0),ROUND(Request!L160/3*Worksheet!N163,0))</f>
        <v>0</v>
      </c>
      <c r="R160" s="63">
        <f>IF(M$158="#GSRs",ROUND((Worksheet!O163*M160)/3*Worksheet!G$30,0),ROUND(Request!M160/3*Worksheet!O163,0))</f>
        <v>0</v>
      </c>
      <c r="S160" s="63">
        <f t="shared" ref="S160" si="30">SUM(N160:R160)</f>
        <v>0</v>
      </c>
      <c r="T160" s="187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</row>
    <row r="161" spans="1:41" hidden="1" x14ac:dyDescent="0.15">
      <c r="A161" s="253"/>
      <c r="B161" s="263"/>
      <c r="C161" s="254"/>
      <c r="D161" s="253" t="s">
        <v>75</v>
      </c>
      <c r="E161" s="254"/>
      <c r="F161" s="161">
        <v>0.1</v>
      </c>
      <c r="G161" s="266">
        <v>32689</v>
      </c>
      <c r="H161" s="267"/>
      <c r="I161" s="162"/>
      <c r="J161" s="162"/>
      <c r="K161" s="162"/>
      <c r="L161" s="162"/>
      <c r="M161" s="162"/>
      <c r="N161" s="63">
        <f>IF(I$158="#GSRs",ROUND((Worksheet!K164*I161)/3*Worksheet!C$30,0),ROUND(Request!I161/3*Worksheet!K164,0))</f>
        <v>0</v>
      </c>
      <c r="O161" s="63">
        <f>IF(J$158="#GSRs",ROUND((Worksheet!L164*J161)/3*Worksheet!D$30,0),ROUND(Request!J161/3*Worksheet!L164,0))</f>
        <v>0</v>
      </c>
      <c r="P161" s="63">
        <f>IF(K$158="#GSRs",ROUND((Worksheet!M164*K161)/3*Worksheet!E$30,0),ROUND(Request!K161/3*Worksheet!M164,0))</f>
        <v>0</v>
      </c>
      <c r="Q161" s="63">
        <f>IF(L$158="#GSRs",ROUND((Worksheet!N164*L161)/3*Worksheet!F$30,0),ROUND(Request!L161/3*Worksheet!N164,0))</f>
        <v>0</v>
      </c>
      <c r="R161" s="63">
        <f>IF(M$158="#GSRs",ROUND((Worksheet!O164*M161)/3*Worksheet!G$30,0),ROUND(Request!M161/3*Worksheet!O164,0))</f>
        <v>0</v>
      </c>
      <c r="S161" s="63">
        <f>SUM(N161:R161)</f>
        <v>0</v>
      </c>
      <c r="T161" s="187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</row>
    <row r="162" spans="1:41" hidden="1" x14ac:dyDescent="0.15">
      <c r="A162" s="253"/>
      <c r="B162" s="263"/>
      <c r="C162" s="254"/>
      <c r="D162" s="253" t="s">
        <v>74</v>
      </c>
      <c r="E162" s="254"/>
      <c r="F162" s="161">
        <v>0.1</v>
      </c>
      <c r="G162" s="266">
        <v>17587</v>
      </c>
      <c r="H162" s="267"/>
      <c r="I162" s="162"/>
      <c r="J162" s="162"/>
      <c r="K162" s="162"/>
      <c r="L162" s="162"/>
      <c r="M162" s="162"/>
      <c r="N162" s="63">
        <f>IF(I$158="#GSRs",ROUND((Worksheet!K165*I162)/3*Worksheet!C$30,0),ROUND(Request!I162/3*Worksheet!K165,0))</f>
        <v>0</v>
      </c>
      <c r="O162" s="63">
        <f>IF(J$158="#GSRs",ROUND((Worksheet!L165*J162)/3*Worksheet!D$30,0),ROUND(Request!J162/3*Worksheet!L165,0))</f>
        <v>0</v>
      </c>
      <c r="P162" s="63">
        <f>IF(K$158="#GSRs",ROUND((Worksheet!M165*K162)/3*Worksheet!E$30,0),ROUND(Request!K162/3*Worksheet!M165,0))</f>
        <v>0</v>
      </c>
      <c r="Q162" s="63">
        <f>IF(L$158="#GSRs",ROUND((Worksheet!N165*L162)/3*Worksheet!F$30,0),ROUND(Request!L162/3*Worksheet!N165,0))</f>
        <v>0</v>
      </c>
      <c r="R162" s="63">
        <f>IF(M$158="#GSRs",ROUND((Worksheet!O165*M162)/3*Worksheet!G$30,0),ROUND(Request!M162/3*Worksheet!O165,0))</f>
        <v>0</v>
      </c>
      <c r="S162" s="63">
        <f t="shared" ref="S162:S170" si="31">SUM(N162:R162)</f>
        <v>0</v>
      </c>
      <c r="T162" s="187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</row>
    <row r="163" spans="1:41" hidden="1" x14ac:dyDescent="0.15">
      <c r="A163" s="253"/>
      <c r="B163" s="263"/>
      <c r="C163" s="254"/>
      <c r="D163" s="253" t="s">
        <v>74</v>
      </c>
      <c r="E163" s="254"/>
      <c r="F163" s="161">
        <v>0.1</v>
      </c>
      <c r="G163" s="266">
        <v>17587</v>
      </c>
      <c r="H163" s="267"/>
      <c r="I163" s="162"/>
      <c r="J163" s="162"/>
      <c r="K163" s="162"/>
      <c r="L163" s="162"/>
      <c r="M163" s="162"/>
      <c r="N163" s="63">
        <f>IF(I$158="#GSRs",ROUND((Worksheet!K166*I163)/3*Worksheet!C$30,0),ROUND(Request!I163/3*Worksheet!K166,0))</f>
        <v>0</v>
      </c>
      <c r="O163" s="63">
        <f>IF(J$158="#GSRs",ROUND((Worksheet!L166*J163)/3*Worksheet!D$30,0),ROUND(Request!J163/3*Worksheet!L166,0))</f>
        <v>0</v>
      </c>
      <c r="P163" s="63">
        <f>IF(K$158="#GSRs",ROUND((Worksheet!M166*K163)/3*Worksheet!E$30,0),ROUND(Request!K163/3*Worksheet!M166,0))</f>
        <v>0</v>
      </c>
      <c r="Q163" s="63">
        <f>IF(L$158="#GSRs",ROUND((Worksheet!N166*L163)/3*Worksheet!F$30,0),ROUND(Request!L163/3*Worksheet!N166,0))</f>
        <v>0</v>
      </c>
      <c r="R163" s="63">
        <f>IF(M$158="#GSRs",ROUND((Worksheet!O166*M163)/3*Worksheet!G$30,0),ROUND(Request!M163/3*Worksheet!O166,0))</f>
        <v>0</v>
      </c>
      <c r="S163" s="63">
        <f t="shared" si="31"/>
        <v>0</v>
      </c>
      <c r="T163" s="187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</row>
    <row r="164" spans="1:41" hidden="1" x14ac:dyDescent="0.15">
      <c r="A164" s="253"/>
      <c r="B164" s="263"/>
      <c r="C164" s="254"/>
      <c r="D164" s="253" t="s">
        <v>74</v>
      </c>
      <c r="E164" s="254"/>
      <c r="F164" s="161">
        <v>0.1</v>
      </c>
      <c r="G164" s="266">
        <v>17587</v>
      </c>
      <c r="H164" s="267"/>
      <c r="I164" s="162"/>
      <c r="J164" s="162"/>
      <c r="K164" s="162"/>
      <c r="L164" s="162"/>
      <c r="M164" s="162"/>
      <c r="N164" s="63">
        <f>IF(I$158="#GSRs",ROUND((Worksheet!K167*I164)/3*Worksheet!C$30,0),ROUND(Request!I164/3*Worksheet!K167,0))</f>
        <v>0</v>
      </c>
      <c r="O164" s="63">
        <f>IF(J$158="#GSRs",ROUND((Worksheet!L167*J164)/3*Worksheet!D$30,0),ROUND(Request!J164/3*Worksheet!L167,0))</f>
        <v>0</v>
      </c>
      <c r="P164" s="63">
        <f>IF(K$158="#GSRs",ROUND((Worksheet!M167*K164)/3*Worksheet!E$30,0),ROUND(Request!K164/3*Worksheet!M167,0))</f>
        <v>0</v>
      </c>
      <c r="Q164" s="63">
        <f>IF(L$158="#GSRs",ROUND((Worksheet!N167*L164)/3*Worksheet!F$30,0),ROUND(Request!L164/3*Worksheet!N167,0))</f>
        <v>0</v>
      </c>
      <c r="R164" s="63">
        <f>IF(M$158="#GSRs",ROUND((Worksheet!O167*M164)/3*Worksheet!G$30,0),ROUND(Request!M164/3*Worksheet!O167,0))</f>
        <v>0</v>
      </c>
      <c r="S164" s="63">
        <f t="shared" si="31"/>
        <v>0</v>
      </c>
      <c r="T164" s="187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</row>
    <row r="165" spans="1:41" hidden="1" x14ac:dyDescent="0.15">
      <c r="A165" s="253"/>
      <c r="B165" s="263"/>
      <c r="C165" s="254"/>
      <c r="D165" s="253" t="s">
        <v>74</v>
      </c>
      <c r="E165" s="254"/>
      <c r="F165" s="161">
        <v>0.1</v>
      </c>
      <c r="G165" s="266">
        <v>17587</v>
      </c>
      <c r="H165" s="267"/>
      <c r="I165" s="162"/>
      <c r="J165" s="162"/>
      <c r="K165" s="162"/>
      <c r="L165" s="162"/>
      <c r="M165" s="162"/>
      <c r="N165" s="63">
        <f>IF(I$158="#GSRs",ROUND((Worksheet!K168*I165)/3*Worksheet!C$30,0),ROUND(Request!I165/3*Worksheet!K168,0))</f>
        <v>0</v>
      </c>
      <c r="O165" s="63">
        <f>IF(J$158="#GSRs",ROUND((Worksheet!L168*J165)/3*Worksheet!D$30,0),ROUND(Request!J165/3*Worksheet!L168,0))</f>
        <v>0</v>
      </c>
      <c r="P165" s="63">
        <f>IF(K$158="#GSRs",ROUND((Worksheet!M168*K165)/3*Worksheet!E$30,0),ROUND(Request!K165/3*Worksheet!M168,0))</f>
        <v>0</v>
      </c>
      <c r="Q165" s="63">
        <f>IF(L$158="#GSRs",ROUND((Worksheet!N168*L165)/3*Worksheet!F$30,0),ROUND(Request!L165/3*Worksheet!N168,0))</f>
        <v>0</v>
      </c>
      <c r="R165" s="63">
        <f>IF(M$158="#GSRs",ROUND((Worksheet!O168*M165)/3*Worksheet!G$30,0),ROUND(Request!M165/3*Worksheet!O168,0))</f>
        <v>0</v>
      </c>
      <c r="S165" s="63">
        <f t="shared" si="31"/>
        <v>0</v>
      </c>
      <c r="T165" s="187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</row>
    <row r="166" spans="1:41" ht="11" hidden="1" customHeight="1" x14ac:dyDescent="0.15">
      <c r="A166" s="253"/>
      <c r="B166" s="263"/>
      <c r="C166" s="254"/>
      <c r="D166" s="253" t="s">
        <v>74</v>
      </c>
      <c r="E166" s="254"/>
      <c r="F166" s="161">
        <v>0.1</v>
      </c>
      <c r="G166" s="266">
        <v>17587</v>
      </c>
      <c r="H166" s="267"/>
      <c r="I166" s="162"/>
      <c r="J166" s="162"/>
      <c r="K166" s="162"/>
      <c r="L166" s="162"/>
      <c r="M166" s="162"/>
      <c r="N166" s="63">
        <f>IF(I$158="#GSRs",ROUND((Worksheet!K169*I166)/3*Worksheet!C$30,0),ROUND(Request!I166/3*Worksheet!K169,0))</f>
        <v>0</v>
      </c>
      <c r="O166" s="63">
        <f>IF(J$158="#GSRs",ROUND((Worksheet!L169*J166)/3*Worksheet!D$30,0),ROUND(Request!J166/3*Worksheet!L169,0))</f>
        <v>0</v>
      </c>
      <c r="P166" s="63">
        <f>IF(K$158="#GSRs",ROUND((Worksheet!M169*K166)/3*Worksheet!E$30,0),ROUND(Request!K166/3*Worksheet!M169,0))</f>
        <v>0</v>
      </c>
      <c r="Q166" s="63">
        <f>IF(L$158="#GSRs",ROUND((Worksheet!N169*L166)/3*Worksheet!F$30,0),ROUND(Request!L166/3*Worksheet!N169,0))</f>
        <v>0</v>
      </c>
      <c r="R166" s="63">
        <f>IF(M$158="#GSRs",ROUND((Worksheet!O169*M166)/3*Worksheet!G$30,0),ROUND(Request!M166/3*Worksheet!O169,0))</f>
        <v>0</v>
      </c>
      <c r="S166" s="63">
        <f t="shared" si="31"/>
        <v>0</v>
      </c>
      <c r="T166" s="187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</row>
    <row r="167" spans="1:41" hidden="1" x14ac:dyDescent="0.15">
      <c r="A167" s="253"/>
      <c r="B167" s="263"/>
      <c r="C167" s="254"/>
      <c r="D167" s="253" t="s">
        <v>74</v>
      </c>
      <c r="E167" s="254"/>
      <c r="F167" s="161">
        <v>0.1</v>
      </c>
      <c r="G167" s="266">
        <v>17587</v>
      </c>
      <c r="H167" s="267"/>
      <c r="I167" s="162"/>
      <c r="J167" s="162"/>
      <c r="K167" s="162"/>
      <c r="L167" s="162"/>
      <c r="M167" s="162"/>
      <c r="N167" s="63">
        <f>IF(I$158="#GSRs",ROUND((Worksheet!K170*I167)/3*Worksheet!C$30,0),ROUND(Request!I167/3*Worksheet!K170,0))</f>
        <v>0</v>
      </c>
      <c r="O167" s="63">
        <f>IF(J$158="#GSRs",ROUND((Worksheet!L170*J167)/3*Worksheet!D$30,0),ROUND(Request!J167/3*Worksheet!L170,0))</f>
        <v>0</v>
      </c>
      <c r="P167" s="63">
        <f>IF(K$158="#GSRs",ROUND((Worksheet!M170*K167)/3*Worksheet!E$30,0),ROUND(Request!K167/3*Worksheet!M170,0))</f>
        <v>0</v>
      </c>
      <c r="Q167" s="63">
        <f>IF(L$158="#GSRs",ROUND((Worksheet!N170*L167)/3*Worksheet!F$30,0),ROUND(Request!L167/3*Worksheet!N170,0))</f>
        <v>0</v>
      </c>
      <c r="R167" s="63">
        <f>IF(M$158="#GSRs",ROUND((Worksheet!O170*M167)/3*Worksheet!G$30,0),ROUND(Request!M167/3*Worksheet!O170,0))</f>
        <v>0</v>
      </c>
      <c r="S167" s="63">
        <f t="shared" si="31"/>
        <v>0</v>
      </c>
      <c r="T167" s="187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</row>
    <row r="168" spans="1:41" hidden="1" x14ac:dyDescent="0.15">
      <c r="A168" s="253"/>
      <c r="B168" s="263"/>
      <c r="C168" s="254"/>
      <c r="D168" s="253" t="s">
        <v>74</v>
      </c>
      <c r="E168" s="254"/>
      <c r="F168" s="161">
        <v>0.1</v>
      </c>
      <c r="G168" s="266">
        <v>17587</v>
      </c>
      <c r="H168" s="267"/>
      <c r="I168" s="162"/>
      <c r="J168" s="162"/>
      <c r="K168" s="162"/>
      <c r="L168" s="162"/>
      <c r="M168" s="162"/>
      <c r="N168" s="63">
        <f>IF(I$158="#GSRs",ROUND((Worksheet!K171*I168)/3*Worksheet!C$30,0),ROUND(Request!I168/3*Worksheet!K171,0))</f>
        <v>0</v>
      </c>
      <c r="O168" s="63">
        <f>IF(J$158="#GSRs",ROUND((Worksheet!L171*J168)/3*Worksheet!D$30,0),ROUND(Request!J168/3*Worksheet!L171,0))</f>
        <v>0</v>
      </c>
      <c r="P168" s="63">
        <f>IF(K$158="#GSRs",ROUND((Worksheet!M171*K168)/3*Worksheet!E$30,0),ROUND(Request!K168/3*Worksheet!M171,0))</f>
        <v>0</v>
      </c>
      <c r="Q168" s="63">
        <f>IF(L$158="#GSRs",ROUND((Worksheet!N171*L168)/3*Worksheet!F$30,0),ROUND(Request!L168/3*Worksheet!N171,0))</f>
        <v>0</v>
      </c>
      <c r="R168" s="63">
        <f>IF(M$158="#GSRs",ROUND((Worksheet!O171*M168)/3*Worksheet!G$30,0),ROUND(Request!M168/3*Worksheet!O171,0))</f>
        <v>0</v>
      </c>
      <c r="S168" s="63">
        <f t="shared" si="31"/>
        <v>0</v>
      </c>
      <c r="T168" s="187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</row>
    <row r="169" spans="1:41" hidden="1" x14ac:dyDescent="0.15">
      <c r="A169" s="253"/>
      <c r="B169" s="263"/>
      <c r="C169" s="254"/>
      <c r="D169" s="253" t="s">
        <v>74</v>
      </c>
      <c r="E169" s="254"/>
      <c r="F169" s="161">
        <v>0.1</v>
      </c>
      <c r="G169" s="266">
        <v>17587</v>
      </c>
      <c r="H169" s="267"/>
      <c r="I169" s="162"/>
      <c r="J169" s="162"/>
      <c r="K169" s="162"/>
      <c r="L169" s="162"/>
      <c r="M169" s="162"/>
      <c r="N169" s="63">
        <f>IF(I$158="#GSRs",ROUND((Worksheet!K172*I169)/3*Worksheet!C$30,0),ROUND(Request!I169/3*Worksheet!K172,0))</f>
        <v>0</v>
      </c>
      <c r="O169" s="63">
        <f>IF(J$158="#GSRs",ROUND((Worksheet!L172*J169)/3*Worksheet!D$30,0),ROUND(Request!J169/3*Worksheet!L172,0))</f>
        <v>0</v>
      </c>
      <c r="P169" s="63">
        <f>IF(K$158="#GSRs",ROUND((Worksheet!M172*K169)/3*Worksheet!E$30,0),ROUND(Request!K169/3*Worksheet!M172,0))</f>
        <v>0</v>
      </c>
      <c r="Q169" s="63">
        <f>IF(L$158="#GSRs",ROUND((Worksheet!N172*L169)/3*Worksheet!F$30,0),ROUND(Request!L169/3*Worksheet!N172,0))</f>
        <v>0</v>
      </c>
      <c r="R169" s="63">
        <f>IF(M$158="#GSRs",ROUND((Worksheet!O172*M169)/3*Worksheet!G$30,0),ROUND(Request!M169/3*Worksheet!O172,0))</f>
        <v>0</v>
      </c>
      <c r="S169" s="63">
        <f t="shared" si="31"/>
        <v>0</v>
      </c>
      <c r="T169" s="187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</row>
    <row r="170" spans="1:41" hidden="1" x14ac:dyDescent="0.15">
      <c r="A170" s="253"/>
      <c r="B170" s="263"/>
      <c r="C170" s="254"/>
      <c r="D170" s="253" t="s">
        <v>74</v>
      </c>
      <c r="E170" s="254"/>
      <c r="F170" s="161">
        <v>0.1</v>
      </c>
      <c r="G170" s="266">
        <v>17587</v>
      </c>
      <c r="H170" s="267"/>
      <c r="I170" s="162"/>
      <c r="J170" s="162"/>
      <c r="K170" s="162"/>
      <c r="L170" s="162"/>
      <c r="M170" s="162"/>
      <c r="N170" s="63">
        <f>IF(I$158="#GSRs",ROUND((Worksheet!K173*I170)/3*Worksheet!C$30,0),ROUND(Request!I170/3*Worksheet!K173,0))</f>
        <v>0</v>
      </c>
      <c r="O170" s="63">
        <f>IF(J$158="#GSRs",ROUND((Worksheet!L173*J170)/3*Worksheet!D$30,0),ROUND(Request!J170/3*Worksheet!L173,0))</f>
        <v>0</v>
      </c>
      <c r="P170" s="63">
        <f>IF(K$158="#GSRs",ROUND((Worksheet!M173*K170)/3*Worksheet!E$30,0),ROUND(Request!K170/3*Worksheet!M173,0))</f>
        <v>0</v>
      </c>
      <c r="Q170" s="63">
        <f>IF(L$158="#GSRs",ROUND((Worksheet!N173*L170)/3*Worksheet!F$30,0),ROUND(Request!L170/3*Worksheet!N173,0))</f>
        <v>0</v>
      </c>
      <c r="R170" s="63">
        <f>IF(M$158="#GSRs",ROUND((Worksheet!O173*M170)/3*Worksheet!G$30,0),ROUND(Request!M170/3*Worksheet!O173,0))</f>
        <v>0</v>
      </c>
      <c r="S170" s="63">
        <f t="shared" si="31"/>
        <v>0</v>
      </c>
      <c r="T170" s="187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</row>
    <row r="171" spans="1:41" hidden="1" x14ac:dyDescent="0.15">
      <c r="A171" s="93" t="s">
        <v>181</v>
      </c>
      <c r="B171" s="54"/>
      <c r="C171" s="54"/>
      <c r="D171" s="113"/>
      <c r="E171" s="113"/>
      <c r="F171" s="54"/>
      <c r="G171" s="337" t="s">
        <v>113</v>
      </c>
      <c r="H171" s="338"/>
      <c r="I171" s="268" t="s">
        <v>186</v>
      </c>
      <c r="J171" s="269"/>
      <c r="K171" s="269"/>
      <c r="L171" s="269"/>
      <c r="M171" s="270"/>
      <c r="N171" s="55"/>
      <c r="O171" s="55"/>
      <c r="P171" s="55"/>
      <c r="Q171" s="55"/>
      <c r="R171" s="55"/>
      <c r="S171" s="55"/>
      <c r="T171" s="187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</row>
    <row r="172" spans="1:41" hidden="1" x14ac:dyDescent="0.15">
      <c r="A172" s="174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8"/>
      <c r="O172" s="158"/>
      <c r="P172" s="158"/>
      <c r="Q172" s="158"/>
      <c r="R172" s="158"/>
      <c r="S172" s="89">
        <f>SUM(N172:R172)</f>
        <v>0</v>
      </c>
      <c r="T172" s="187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0"/>
      <c r="AL172" s="180"/>
      <c r="AM172" s="180"/>
      <c r="AN172" s="180"/>
      <c r="AO172" s="180"/>
    </row>
    <row r="173" spans="1:41" hidden="1" x14ac:dyDescent="0.15">
      <c r="A173" s="174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8"/>
      <c r="O173" s="158"/>
      <c r="P173" s="158"/>
      <c r="Q173" s="158"/>
      <c r="R173" s="158"/>
      <c r="S173" s="89">
        <f>SUM(N173:R173)</f>
        <v>0</v>
      </c>
      <c r="T173" s="187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80"/>
      <c r="AK173" s="180"/>
      <c r="AL173" s="180"/>
      <c r="AM173" s="180"/>
      <c r="AN173" s="180"/>
      <c r="AO173" s="180"/>
    </row>
    <row r="174" spans="1:41" hidden="1" x14ac:dyDescent="0.15">
      <c r="A174" s="174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8"/>
      <c r="O174" s="158"/>
      <c r="P174" s="158"/>
      <c r="Q174" s="158"/>
      <c r="R174" s="158"/>
      <c r="S174" s="89">
        <f>SUM(N174:R174)</f>
        <v>0</v>
      </c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80"/>
      <c r="AK174" s="180"/>
      <c r="AL174" s="180"/>
      <c r="AM174" s="180"/>
      <c r="AN174" s="180"/>
      <c r="AO174" s="180"/>
    </row>
    <row r="175" spans="1:41" hidden="1" x14ac:dyDescent="0.15">
      <c r="A175" s="174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8"/>
      <c r="O175" s="158"/>
      <c r="P175" s="158"/>
      <c r="Q175" s="158"/>
      <c r="R175" s="158"/>
      <c r="S175" s="89">
        <f>SUM(N175:R175)</f>
        <v>0</v>
      </c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</row>
    <row r="176" spans="1:41" hidden="1" x14ac:dyDescent="0.15">
      <c r="A176" s="174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8"/>
      <c r="O176" s="158"/>
      <c r="P176" s="158"/>
      <c r="Q176" s="158"/>
      <c r="R176" s="158"/>
      <c r="S176" s="89">
        <f>SUM(N176:R176)</f>
        <v>0</v>
      </c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0"/>
      <c r="AL176" s="180"/>
      <c r="AM176" s="180"/>
      <c r="AN176" s="180"/>
      <c r="AO176" s="180"/>
    </row>
    <row r="177" spans="1:41" hidden="1" x14ac:dyDescent="0.15">
      <c r="A177" s="58" t="s">
        <v>78</v>
      </c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6"/>
      <c r="N177" s="167"/>
      <c r="O177" s="167"/>
      <c r="P177" s="167"/>
      <c r="Q177" s="167"/>
      <c r="R177" s="167"/>
      <c r="S177" s="87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</row>
    <row r="178" spans="1:41" hidden="1" x14ac:dyDescent="0.15">
      <c r="A178" s="174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68"/>
      <c r="O178" s="168"/>
      <c r="P178" s="168"/>
      <c r="Q178" s="168"/>
      <c r="R178" s="168"/>
      <c r="S178" s="89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</row>
    <row r="179" spans="1:41" hidden="1" x14ac:dyDescent="0.15">
      <c r="A179" s="174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68"/>
      <c r="O179" s="168"/>
      <c r="P179" s="168"/>
      <c r="Q179" s="168"/>
      <c r="R179" s="168"/>
      <c r="S179" s="89">
        <f t="shared" ref="S179:S185" si="32">SUM(N179:R179)</f>
        <v>0</v>
      </c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80"/>
      <c r="AK179" s="180"/>
      <c r="AL179" s="180"/>
      <c r="AM179" s="180"/>
      <c r="AN179" s="180"/>
      <c r="AO179" s="180"/>
    </row>
    <row r="180" spans="1:41" hidden="1" x14ac:dyDescent="0.15">
      <c r="A180" s="174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68"/>
      <c r="O180" s="168"/>
      <c r="P180" s="168"/>
      <c r="Q180" s="168"/>
      <c r="R180" s="168"/>
      <c r="S180" s="89">
        <f t="shared" si="32"/>
        <v>0</v>
      </c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</row>
    <row r="181" spans="1:41" hidden="1" x14ac:dyDescent="0.15">
      <c r="A181" s="174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68"/>
      <c r="O181" s="168"/>
      <c r="P181" s="168"/>
      <c r="Q181" s="168"/>
      <c r="R181" s="168"/>
      <c r="S181" s="89">
        <f t="shared" si="32"/>
        <v>0</v>
      </c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</row>
    <row r="182" spans="1:41" hidden="1" x14ac:dyDescent="0.15">
      <c r="A182" s="174"/>
      <c r="B182" s="157"/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68"/>
      <c r="O182" s="168"/>
      <c r="P182" s="168"/>
      <c r="Q182" s="168"/>
      <c r="R182" s="168"/>
      <c r="S182" s="89">
        <f t="shared" si="32"/>
        <v>0</v>
      </c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80"/>
      <c r="AK182" s="180"/>
      <c r="AL182" s="180"/>
      <c r="AM182" s="180"/>
      <c r="AN182" s="180"/>
      <c r="AO182" s="180"/>
    </row>
    <row r="183" spans="1:41" hidden="1" x14ac:dyDescent="0.15">
      <c r="A183" s="174"/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68"/>
      <c r="O183" s="168"/>
      <c r="P183" s="168"/>
      <c r="Q183" s="168"/>
      <c r="R183" s="168"/>
      <c r="S183" s="89">
        <f t="shared" si="32"/>
        <v>0</v>
      </c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</row>
    <row r="184" spans="1:41" hidden="1" x14ac:dyDescent="0.15">
      <c r="A184" s="174"/>
      <c r="B184" s="157"/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68"/>
      <c r="O184" s="168"/>
      <c r="P184" s="168"/>
      <c r="Q184" s="168"/>
      <c r="R184" s="168"/>
      <c r="S184" s="89">
        <f t="shared" si="32"/>
        <v>0</v>
      </c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0"/>
      <c r="AL184" s="180"/>
      <c r="AM184" s="180"/>
      <c r="AN184" s="180"/>
      <c r="AO184" s="180"/>
    </row>
    <row r="185" spans="1:41" hidden="1" x14ac:dyDescent="0.15">
      <c r="A185" s="174"/>
      <c r="B185" s="157"/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68"/>
      <c r="O185" s="168"/>
      <c r="P185" s="168"/>
      <c r="Q185" s="168"/>
      <c r="R185" s="168"/>
      <c r="S185" s="89">
        <f t="shared" si="32"/>
        <v>0</v>
      </c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</row>
    <row r="186" spans="1:41" x14ac:dyDescent="0.15">
      <c r="A186" s="175" t="s">
        <v>201</v>
      </c>
      <c r="B186" s="165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6"/>
      <c r="N186" s="167"/>
      <c r="O186" s="167"/>
      <c r="P186" s="167"/>
      <c r="Q186" s="167"/>
      <c r="R186" s="167"/>
      <c r="S186" s="87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</row>
    <row r="187" spans="1:41" x14ac:dyDescent="0.15">
      <c r="A187" s="174"/>
      <c r="B187" s="157" t="s">
        <v>204</v>
      </c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8">
        <v>350</v>
      </c>
      <c r="O187" s="158"/>
      <c r="P187" s="158"/>
      <c r="Q187" s="158"/>
      <c r="R187" s="158"/>
      <c r="S187" s="89">
        <f t="shared" ref="S187:S202" si="33">SUM(N187:R187)</f>
        <v>350</v>
      </c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80"/>
      <c r="AK187" s="180"/>
      <c r="AL187" s="180"/>
      <c r="AM187" s="180"/>
      <c r="AN187" s="180"/>
      <c r="AO187" s="180"/>
    </row>
    <row r="188" spans="1:41" x14ac:dyDescent="0.15">
      <c r="A188" s="174"/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8">
        <v>0</v>
      </c>
      <c r="O188" s="158"/>
      <c r="P188" s="158"/>
      <c r="Q188" s="158"/>
      <c r="R188" s="158"/>
      <c r="S188" s="89">
        <f t="shared" si="33"/>
        <v>0</v>
      </c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</row>
    <row r="189" spans="1:41" x14ac:dyDescent="0.15">
      <c r="A189" s="174"/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8">
        <v>0</v>
      </c>
      <c r="O189" s="158"/>
      <c r="P189" s="158"/>
      <c r="Q189" s="158"/>
      <c r="R189" s="158"/>
      <c r="S189" s="89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</row>
    <row r="190" spans="1:41" hidden="1" x14ac:dyDescent="0.15">
      <c r="A190" s="174"/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8"/>
      <c r="O190" s="158"/>
      <c r="P190" s="158"/>
      <c r="Q190" s="158"/>
      <c r="R190" s="158"/>
      <c r="S190" s="89">
        <f t="shared" si="33"/>
        <v>0</v>
      </c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80"/>
      <c r="AK190" s="180"/>
      <c r="AL190" s="180"/>
      <c r="AM190" s="180"/>
      <c r="AN190" s="180"/>
      <c r="AO190" s="180"/>
    </row>
    <row r="191" spans="1:41" hidden="1" x14ac:dyDescent="0.15">
      <c r="A191" s="174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8"/>
      <c r="O191" s="158"/>
      <c r="P191" s="158"/>
      <c r="Q191" s="158"/>
      <c r="R191" s="158"/>
      <c r="S191" s="89">
        <f t="shared" si="33"/>
        <v>0</v>
      </c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</row>
    <row r="192" spans="1:41" hidden="1" x14ac:dyDescent="0.15">
      <c r="A192" s="174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8"/>
      <c r="O192" s="158"/>
      <c r="P192" s="158"/>
      <c r="Q192" s="158"/>
      <c r="R192" s="158"/>
      <c r="S192" s="89">
        <f t="shared" si="33"/>
        <v>0</v>
      </c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0"/>
    </row>
    <row r="193" spans="1:41" hidden="1" x14ac:dyDescent="0.15">
      <c r="A193" s="174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8"/>
      <c r="O193" s="158"/>
      <c r="P193" s="158"/>
      <c r="Q193" s="158"/>
      <c r="R193" s="158"/>
      <c r="S193" s="89">
        <f t="shared" si="33"/>
        <v>0</v>
      </c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0"/>
    </row>
    <row r="194" spans="1:41" hidden="1" x14ac:dyDescent="0.15">
      <c r="A194" s="174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8"/>
      <c r="O194" s="158"/>
      <c r="P194" s="158"/>
      <c r="Q194" s="158"/>
      <c r="R194" s="158"/>
      <c r="S194" s="89">
        <f t="shared" si="33"/>
        <v>0</v>
      </c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0"/>
    </row>
    <row r="195" spans="1:41" hidden="1" x14ac:dyDescent="0.15">
      <c r="A195" s="174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8"/>
      <c r="O195" s="158"/>
      <c r="P195" s="158"/>
      <c r="Q195" s="158"/>
      <c r="R195" s="158"/>
      <c r="S195" s="89">
        <f t="shared" si="33"/>
        <v>0</v>
      </c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0"/>
    </row>
    <row r="196" spans="1:41" hidden="1" x14ac:dyDescent="0.15">
      <c r="A196" s="174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8"/>
      <c r="O196" s="158"/>
      <c r="P196" s="158"/>
      <c r="Q196" s="158"/>
      <c r="R196" s="158"/>
      <c r="S196" s="89">
        <f t="shared" si="33"/>
        <v>0</v>
      </c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0"/>
    </row>
    <row r="197" spans="1:41" hidden="1" x14ac:dyDescent="0.15">
      <c r="A197" s="174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8"/>
      <c r="O197" s="158"/>
      <c r="P197" s="158"/>
      <c r="Q197" s="158"/>
      <c r="R197" s="158"/>
      <c r="S197" s="89">
        <f t="shared" si="33"/>
        <v>0</v>
      </c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</row>
    <row r="198" spans="1:41" hidden="1" x14ac:dyDescent="0.15">
      <c r="A198" s="174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8"/>
      <c r="O198" s="158"/>
      <c r="P198" s="158"/>
      <c r="Q198" s="158"/>
      <c r="R198" s="158"/>
      <c r="S198" s="89">
        <f t="shared" si="33"/>
        <v>0</v>
      </c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</row>
    <row r="199" spans="1:41" hidden="1" x14ac:dyDescent="0.15">
      <c r="A199" s="174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8"/>
      <c r="O199" s="158"/>
      <c r="P199" s="158"/>
      <c r="Q199" s="158"/>
      <c r="R199" s="158"/>
      <c r="S199" s="89">
        <f t="shared" si="33"/>
        <v>0</v>
      </c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/>
    </row>
    <row r="200" spans="1:41" hidden="1" x14ac:dyDescent="0.15">
      <c r="A200" s="174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8"/>
      <c r="O200" s="158"/>
      <c r="P200" s="158"/>
      <c r="Q200" s="158"/>
      <c r="R200" s="158"/>
      <c r="S200" s="89">
        <f t="shared" si="33"/>
        <v>0</v>
      </c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/>
      <c r="AK200" s="180"/>
      <c r="AL200" s="180"/>
      <c r="AM200" s="180"/>
      <c r="AN200" s="180"/>
      <c r="AO200" s="180"/>
    </row>
    <row r="201" spans="1:41" hidden="1" x14ac:dyDescent="0.15">
      <c r="A201" s="174"/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58"/>
      <c r="O201" s="158"/>
      <c r="P201" s="158"/>
      <c r="Q201" s="158"/>
      <c r="R201" s="158"/>
      <c r="S201" s="89">
        <f t="shared" si="33"/>
        <v>0</v>
      </c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</row>
    <row r="202" spans="1:41" x14ac:dyDescent="0.15">
      <c r="A202" s="133" t="s">
        <v>79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5"/>
      <c r="N202" s="213">
        <f>SUM(N159:N201)</f>
        <v>350</v>
      </c>
      <c r="O202" s="122">
        <f>SUM(O159:O201)</f>
        <v>0</v>
      </c>
      <c r="P202" s="122">
        <f>SUM(P159:P201)</f>
        <v>0</v>
      </c>
      <c r="Q202" s="122">
        <f>SUM(Q159:Q201)</f>
        <v>0</v>
      </c>
      <c r="R202" s="122">
        <f>SUM(R159:R201)</f>
        <v>0</v>
      </c>
      <c r="S202" s="123">
        <f t="shared" si="33"/>
        <v>350</v>
      </c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</row>
    <row r="203" spans="1:41" ht="15.5" customHeight="1" x14ac:dyDescent="0.15">
      <c r="A203" s="293"/>
      <c r="B203" s="294"/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5"/>
      <c r="N203" s="120"/>
      <c r="O203" s="120"/>
      <c r="P203" s="120"/>
      <c r="Q203" s="120">
        <f>Q204-IF($K129="IC of Above",Q129,0)-IF($K130="IC of Above",Q130,0)-IF($K131="IC of Above",Q131,0)-IF($K132="IC of Above",Q132,0)-IF($K133="IC of Above",Q133,0)-IF($K134="IC of Above",Q134,0)-IF($K135="IC of Above",Q135,0)-IF($K136="IC of Above",Q136,0)-IF($K137="IC of Above",Q137,0)-IF($K138="IC of Above",Q138,0)-IF($K139="IC of Above",Q139,0)-IF($K140="IC of Above",Q140,0)-IF($K141="IC of Above",Q141,0)-IF($K142="IC of Above",Q142,0)</f>
        <v>0</v>
      </c>
      <c r="R203" s="120">
        <f>R204-IF($K129="IC of Above",R129,0)-IF($K130="IC of Above",R130,0)-IF($K131="IC of Above",R131,0)-IF($K132="IC of Above",R132,0)-IF($K133="IC of Above",R133,0)-IF($K134="IC of Above",R134,0)-IF($K135="IC of Above",R135,0)-IF($K136="IC of Above",R136,0)-IF($K137="IC of Above",R137,0)-IF($K138="IC of Above",R138,0)-IF($K139="IC of Above",R139,0)-IF($K140="IC of Above",R140,0)-IF($K141="IC of Above",R141,0)-IF($K142="IC of Above",R142,0)</f>
        <v>0</v>
      </c>
      <c r="S203" s="120">
        <f>SUM(N203:R203)</f>
        <v>0</v>
      </c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</row>
    <row r="204" spans="1:41" x14ac:dyDescent="0.15">
      <c r="A204" s="133" t="s">
        <v>80</v>
      </c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5"/>
      <c r="N204" s="177">
        <f>N68+N80+N93+N125+N143+N153+N202</f>
        <v>38472</v>
      </c>
      <c r="O204" s="177">
        <f>O68+O80+O93+O125+O143+O153+O202</f>
        <v>0</v>
      </c>
      <c r="P204" s="177">
        <f>P68+P80+P93+P125+P143+P153+P202</f>
        <v>0</v>
      </c>
      <c r="Q204" s="177">
        <f>Q68+Q80+Q93+Q125+Q143+Q153+Q202</f>
        <v>0</v>
      </c>
      <c r="R204" s="177">
        <f>R68+R80+R93+R125+R143+R153+R202</f>
        <v>0</v>
      </c>
      <c r="S204" s="177">
        <f>SUM(N204:R204)</f>
        <v>38472</v>
      </c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</row>
    <row r="205" spans="1:41" x14ac:dyDescent="0.15">
      <c r="A205" s="62" t="s">
        <v>81</v>
      </c>
      <c r="B205" s="157"/>
      <c r="C205" s="157"/>
      <c r="D205" s="264" t="s">
        <v>84</v>
      </c>
      <c r="E205" s="265"/>
      <c r="F205" s="253" t="s">
        <v>86</v>
      </c>
      <c r="G205" s="263"/>
      <c r="H205" s="263"/>
      <c r="I205" s="263"/>
      <c r="J205" s="263"/>
      <c r="K205" s="263"/>
      <c r="L205" s="263"/>
      <c r="M205" s="254"/>
      <c r="N205" s="178"/>
      <c r="O205" s="178"/>
      <c r="P205" s="178"/>
      <c r="Q205" s="178">
        <f>IF($H$207&lt;&gt;"Custom",IF($F$205&lt;&gt;Worksheet!$A$91,Worksheet!F157,IF(Request!$H$207="MTDC",Worksheet!F157,IF(Request!$H$207="TDC",Worksheet!F158,IF(Request!$H$207="TC",Worksheet!F159)))),0)</f>
        <v>0</v>
      </c>
      <c r="R205" s="178">
        <f>IF($H$207&lt;&gt;"Custom",IF($F$205&lt;&gt;Worksheet!$A$91,Worksheet!G157,IF(Request!$H$207="MTDC",Worksheet!G157,IF(Request!$H$207="TDC",Worksheet!G158,IF(Request!$H$207="TC",Worksheet!G159)))),0)</f>
        <v>0</v>
      </c>
      <c r="S205" s="179"/>
      <c r="T205" s="19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</row>
    <row r="206" spans="1:41" hidden="1" x14ac:dyDescent="0.15">
      <c r="A206" s="184" t="s">
        <v>98</v>
      </c>
      <c r="B206" s="180"/>
      <c r="C206" s="180"/>
      <c r="D206" s="181"/>
      <c r="E206" s="334" t="s">
        <v>99</v>
      </c>
      <c r="F206" s="335"/>
      <c r="G206" s="335"/>
      <c r="H206" s="335"/>
      <c r="I206" s="335"/>
      <c r="J206" s="335"/>
      <c r="K206" s="335"/>
      <c r="L206" s="335"/>
      <c r="M206" s="336"/>
      <c r="N206" s="186"/>
      <c r="O206" s="186"/>
      <c r="P206" s="186"/>
      <c r="Q206" s="186"/>
      <c r="R206" s="186"/>
      <c r="S206" s="86">
        <f>SUM(N206:R206)</f>
        <v>0</v>
      </c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</row>
    <row r="207" spans="1:41" x14ac:dyDescent="0.15">
      <c r="A207" s="185" t="s">
        <v>82</v>
      </c>
      <c r="B207" s="182"/>
      <c r="C207" s="183"/>
      <c r="D207" s="198">
        <v>0</v>
      </c>
      <c r="E207" s="333" t="s">
        <v>95</v>
      </c>
      <c r="F207" s="264"/>
      <c r="G207" s="265"/>
      <c r="H207" s="330" t="s">
        <v>96</v>
      </c>
      <c r="I207" s="331"/>
      <c r="J207" s="332"/>
      <c r="K207" s="264"/>
      <c r="L207" s="328"/>
      <c r="M207" s="329"/>
      <c r="N207" s="64">
        <f>SUM(N204-N98)*0</f>
        <v>0</v>
      </c>
      <c r="O207" s="64">
        <f>SUM(O204-O98)*0.26</f>
        <v>0</v>
      </c>
      <c r="P207" s="64">
        <f>SUM(P204-P98)*0.26</f>
        <v>0</v>
      </c>
      <c r="Q207" s="64">
        <f>IF(Q205=0,0,IF($H$207="Custom",(ROUND(Q206*$L$207,0)),(IF($F$205=Worksheet!$A$91,ROUND(Request!Q205*$L$207,0),(ROUND((Q205-Worksheet!F160)/Worksheet!F5*Worksheet!F9*Worksheet!H97+(Q205-Worksheet!F160)/Worksheet!F5*Worksheet!F10*Worksheet!I97,0)+(IF($I$171="Federal",ROUND(Worksheet!F160*Worksheet!B92,0),(ROUND(Worksheet!F160*Worksheet!B93,0)))))))))</f>
        <v>0</v>
      </c>
      <c r="R207" s="64">
        <f>IF(R205=0,0,IF($H$207="Custom",(ROUND(R206*$L$207,0)),(IF($F$205=Worksheet!$A$91,ROUND(Request!R205*$L$207,0),(ROUND((R205-Worksheet!G160)/Worksheet!G5*Worksheet!G9*Worksheet!J97+(R205-Worksheet!G160)/Worksheet!G5*Worksheet!G10*Worksheet!K97,0)+(IF($I$171="Federal",ROUND(Worksheet!G160*Worksheet!B92,0),(ROUND(Worksheet!G160*Worksheet!B93,0)))))))))</f>
        <v>0</v>
      </c>
      <c r="S207" s="98">
        <f>SUM(N207:R207)</f>
        <v>0</v>
      </c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</row>
    <row r="208" spans="1:41" x14ac:dyDescent="0.15">
      <c r="A208" s="94" t="s">
        <v>83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65"/>
      <c r="M208" s="66"/>
      <c r="N208" s="67">
        <f>N204+N207</f>
        <v>38472</v>
      </c>
      <c r="O208" s="67">
        <f t="shared" ref="O208:R208" si="34">O204+O207</f>
        <v>0</v>
      </c>
      <c r="P208" s="67">
        <f t="shared" si="34"/>
        <v>0</v>
      </c>
      <c r="Q208" s="67">
        <f t="shared" si="34"/>
        <v>0</v>
      </c>
      <c r="R208" s="67">
        <f t="shared" si="34"/>
        <v>0</v>
      </c>
      <c r="S208" s="67">
        <f>S204+S207</f>
        <v>38472</v>
      </c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</row>
    <row r="209" spans="1:41" x14ac:dyDescent="0.15">
      <c r="A209" s="191"/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3"/>
      <c r="O209" s="193"/>
      <c r="P209" s="193"/>
      <c r="Q209" s="193"/>
      <c r="R209" s="193"/>
      <c r="S209" s="193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</row>
    <row r="210" spans="1:41" x14ac:dyDescent="0.1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 t="s">
        <v>188</v>
      </c>
      <c r="M210" s="180"/>
      <c r="N210" s="203">
        <v>50000</v>
      </c>
      <c r="O210" s="203">
        <v>0</v>
      </c>
      <c r="P210" s="203">
        <v>0</v>
      </c>
      <c r="Q210" s="194"/>
      <c r="R210" s="194"/>
      <c r="S210" s="194">
        <f>SUM(N210:P210)</f>
        <v>50000</v>
      </c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80"/>
      <c r="AK210" s="180"/>
      <c r="AL210" s="180"/>
      <c r="AM210" s="180"/>
      <c r="AN210" s="180"/>
      <c r="AO210" s="180"/>
    </row>
    <row r="211" spans="1:41" x14ac:dyDescent="0.1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 t="s">
        <v>189</v>
      </c>
      <c r="M211" s="180"/>
      <c r="N211" s="202">
        <v>0</v>
      </c>
      <c r="O211" s="202">
        <v>0</v>
      </c>
      <c r="P211" s="202">
        <v>0</v>
      </c>
      <c r="Q211" s="194"/>
      <c r="R211" s="194"/>
      <c r="S211" s="194">
        <f t="shared" ref="S211:S212" si="35">SUM(N211:P211)</f>
        <v>0</v>
      </c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80"/>
      <c r="AK211" s="180"/>
      <c r="AL211" s="180"/>
      <c r="AM211" s="180"/>
      <c r="AN211" s="180"/>
      <c r="AO211" s="180"/>
    </row>
    <row r="212" spans="1:41" x14ac:dyDescent="0.1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 t="s">
        <v>12</v>
      </c>
      <c r="M212" s="180"/>
      <c r="N212" s="194">
        <f>SUM(N210:N211)</f>
        <v>50000</v>
      </c>
      <c r="O212" s="194">
        <f t="shared" ref="O212:P212" si="36">SUM(O210:O211)</f>
        <v>0</v>
      </c>
      <c r="P212" s="194">
        <f t="shared" si="36"/>
        <v>0</v>
      </c>
      <c r="Q212" s="194"/>
      <c r="R212" s="194"/>
      <c r="S212" s="194">
        <f t="shared" si="35"/>
        <v>50000</v>
      </c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80"/>
      <c r="AK212" s="180"/>
      <c r="AL212" s="180"/>
      <c r="AM212" s="180"/>
      <c r="AN212" s="180"/>
      <c r="AO212" s="180"/>
    </row>
    <row r="213" spans="1:41" x14ac:dyDescent="0.1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</row>
    <row r="214" spans="1:41" x14ac:dyDescent="0.1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</row>
    <row r="215" spans="1:41" x14ac:dyDescent="0.1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</row>
    <row r="216" spans="1:41" x14ac:dyDescent="0.1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</row>
    <row r="217" spans="1:41" x14ac:dyDescent="0.1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</row>
    <row r="218" spans="1:41" x14ac:dyDescent="0.1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</row>
    <row r="219" spans="1:41" x14ac:dyDescent="0.1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</row>
    <row r="220" spans="1:41" x14ac:dyDescent="0.1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</row>
    <row r="221" spans="1:41" x14ac:dyDescent="0.1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</row>
    <row r="222" spans="1:41" x14ac:dyDescent="0.1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</row>
    <row r="223" spans="1:41" x14ac:dyDescent="0.1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</row>
    <row r="224" spans="1:41" x14ac:dyDescent="0.1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</row>
    <row r="225" spans="1:20" x14ac:dyDescent="0.1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</row>
    <row r="226" spans="1:20" x14ac:dyDescent="0.1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</row>
    <row r="227" spans="1:20" x14ac:dyDescent="0.1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</row>
    <row r="228" spans="1:20" x14ac:dyDescent="0.15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</row>
    <row r="229" spans="1:20" x14ac:dyDescent="0.15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</row>
    <row r="230" spans="1:20" x14ac:dyDescent="0.15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</row>
    <row r="231" spans="1:20" x14ac:dyDescent="0.15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</row>
    <row r="232" spans="1:20" x14ac:dyDescent="0.15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</row>
    <row r="233" spans="1:20" x14ac:dyDescent="0.15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</row>
    <row r="234" spans="1:20" x14ac:dyDescent="0.15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</row>
    <row r="235" spans="1:20" x14ac:dyDescent="0.15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</row>
    <row r="236" spans="1:20" x14ac:dyDescent="0.15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</row>
    <row r="237" spans="1:20" x14ac:dyDescent="0.15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</row>
    <row r="238" spans="1:20" x14ac:dyDescent="0.15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</row>
    <row r="239" spans="1:20" x14ac:dyDescent="0.15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</row>
    <row r="240" spans="1:20" x14ac:dyDescent="0.15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</row>
    <row r="241" spans="1:20" x14ac:dyDescent="0.15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</row>
    <row r="242" spans="1:20" x14ac:dyDescent="0.15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</row>
    <row r="243" spans="1:20" x14ac:dyDescent="0.1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</row>
    <row r="244" spans="1:20" x14ac:dyDescent="0.1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</row>
    <row r="245" spans="1:20" x14ac:dyDescent="0.1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</row>
    <row r="246" spans="1:20" x14ac:dyDescent="0.15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</row>
    <row r="247" spans="1:20" x14ac:dyDescent="0.15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</row>
    <row r="248" spans="1:20" x14ac:dyDescent="0.15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</row>
    <row r="249" spans="1:20" x14ac:dyDescent="0.15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</row>
    <row r="250" spans="1:20" x14ac:dyDescent="0.15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</row>
    <row r="251" spans="1:20" x14ac:dyDescent="0.15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</row>
    <row r="252" spans="1:20" x14ac:dyDescent="0.15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</row>
    <row r="253" spans="1:20" x14ac:dyDescent="0.15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</row>
    <row r="254" spans="1:20" x14ac:dyDescent="0.15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</row>
    <row r="255" spans="1:20" x14ac:dyDescent="0.15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</row>
    <row r="256" spans="1:20" x14ac:dyDescent="0.15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</row>
    <row r="257" spans="1:20" x14ac:dyDescent="0.15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</row>
    <row r="258" spans="1:20" x14ac:dyDescent="0.15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</row>
    <row r="259" spans="1:20" x14ac:dyDescent="0.15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</row>
    <row r="260" spans="1:20" x14ac:dyDescent="0.15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</row>
    <row r="261" spans="1:20" x14ac:dyDescent="0.15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</row>
    <row r="262" spans="1:20" x14ac:dyDescent="0.15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</row>
    <row r="263" spans="1:20" x14ac:dyDescent="0.15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</row>
    <row r="264" spans="1:20" x14ac:dyDescent="0.15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</row>
    <row r="265" spans="1:20" x14ac:dyDescent="0.15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</row>
    <row r="266" spans="1:20" x14ac:dyDescent="0.15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</row>
    <row r="267" spans="1:20" x14ac:dyDescent="0.15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</row>
    <row r="268" spans="1:20" x14ac:dyDescent="0.15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</row>
    <row r="269" spans="1:20" x14ac:dyDescent="0.15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</row>
    <row r="270" spans="1:20" x14ac:dyDescent="0.15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</row>
    <row r="271" spans="1:20" x14ac:dyDescent="0.15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</row>
    <row r="272" spans="1:20" x14ac:dyDescent="0.15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</row>
    <row r="273" spans="1:20" x14ac:dyDescent="0.15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</row>
    <row r="274" spans="1:20" x14ac:dyDescent="0.15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</row>
    <row r="275" spans="1:20" x14ac:dyDescent="0.15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</row>
    <row r="276" spans="1:20" x14ac:dyDescent="0.15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</row>
    <row r="277" spans="1:20" x14ac:dyDescent="0.15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</row>
    <row r="278" spans="1:20" x14ac:dyDescent="0.15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</row>
    <row r="279" spans="1:20" x14ac:dyDescent="0.15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</row>
    <row r="280" spans="1:20" x14ac:dyDescent="0.15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</row>
    <row r="281" spans="1:20" x14ac:dyDescent="0.15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</row>
    <row r="282" spans="1:20" x14ac:dyDescent="0.15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</row>
    <row r="283" spans="1:20" x14ac:dyDescent="0.15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</row>
    <row r="284" spans="1:20" x14ac:dyDescent="0.15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</row>
    <row r="285" spans="1:20" x14ac:dyDescent="0.15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</row>
    <row r="286" spans="1:20" x14ac:dyDescent="0.15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</row>
    <row r="287" spans="1:20" x14ac:dyDescent="0.15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</row>
    <row r="288" spans="1:20" x14ac:dyDescent="0.15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</row>
    <row r="289" spans="1:20" x14ac:dyDescent="0.15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</row>
    <row r="290" spans="1:20" x14ac:dyDescent="0.15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</row>
    <row r="291" spans="1:20" x14ac:dyDescent="0.15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</row>
    <row r="292" spans="1:20" x14ac:dyDescent="0.15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</row>
    <row r="293" spans="1:20" x14ac:dyDescent="0.15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</row>
    <row r="294" spans="1:20" x14ac:dyDescent="0.15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</row>
    <row r="295" spans="1:20" x14ac:dyDescent="0.15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</row>
    <row r="296" spans="1:20" x14ac:dyDescent="0.15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</row>
    <row r="297" spans="1:20" x14ac:dyDescent="0.15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</row>
    <row r="298" spans="1:20" x14ac:dyDescent="0.15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</row>
    <row r="299" spans="1:20" x14ac:dyDescent="0.15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</row>
    <row r="300" spans="1:20" x14ac:dyDescent="0.15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</row>
    <row r="301" spans="1:20" x14ac:dyDescent="0.15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</row>
    <row r="302" spans="1:20" x14ac:dyDescent="0.15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</row>
    <row r="303" spans="1:20" x14ac:dyDescent="0.15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</row>
    <row r="304" spans="1:20" x14ac:dyDescent="0.15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</row>
    <row r="305" spans="1:20" x14ac:dyDescent="0.15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</row>
    <row r="306" spans="1:20" x14ac:dyDescent="0.15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</row>
    <row r="307" spans="1:20" x14ac:dyDescent="0.15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</row>
    <row r="308" spans="1:20" x14ac:dyDescent="0.15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</row>
    <row r="309" spans="1:20" x14ac:dyDescent="0.15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</row>
    <row r="310" spans="1:20" x14ac:dyDescent="0.15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</row>
    <row r="311" spans="1:20" x14ac:dyDescent="0.15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</row>
    <row r="312" spans="1:20" x14ac:dyDescent="0.15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</row>
    <row r="313" spans="1:20" x14ac:dyDescent="0.15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</row>
    <row r="314" spans="1:20" x14ac:dyDescent="0.15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</row>
    <row r="315" spans="1:20" x14ac:dyDescent="0.15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</row>
    <row r="316" spans="1:20" x14ac:dyDescent="0.15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</row>
    <row r="317" spans="1:20" x14ac:dyDescent="0.15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</row>
    <row r="318" spans="1:20" x14ac:dyDescent="0.15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</row>
    <row r="319" spans="1:20" x14ac:dyDescent="0.15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</row>
    <row r="320" spans="1:20" x14ac:dyDescent="0.15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</row>
    <row r="321" spans="1:20" x14ac:dyDescent="0.15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</row>
    <row r="322" spans="1:20" x14ac:dyDescent="0.15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</row>
    <row r="323" spans="1:20" x14ac:dyDescent="0.15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</row>
    <row r="324" spans="1:20" x14ac:dyDescent="0.15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</row>
    <row r="325" spans="1:20" x14ac:dyDescent="0.15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</row>
    <row r="326" spans="1:20" x14ac:dyDescent="0.15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</row>
    <row r="327" spans="1:20" x14ac:dyDescent="0.15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</row>
    <row r="328" spans="1:20" x14ac:dyDescent="0.15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</row>
    <row r="329" spans="1:20" x14ac:dyDescent="0.15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</row>
    <row r="330" spans="1:20" x14ac:dyDescent="0.15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</row>
    <row r="331" spans="1:20" x14ac:dyDescent="0.15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</row>
    <row r="332" spans="1:20" x14ac:dyDescent="0.15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</row>
    <row r="333" spans="1:20" x14ac:dyDescent="0.15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</row>
    <row r="334" spans="1:20" x14ac:dyDescent="0.15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</row>
    <row r="335" spans="1:20" x14ac:dyDescent="0.15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</row>
    <row r="336" spans="1:20" x14ac:dyDescent="0.15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</row>
    <row r="337" spans="1:20" x14ac:dyDescent="0.15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</row>
    <row r="338" spans="1:20" x14ac:dyDescent="0.15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</row>
    <row r="339" spans="1:20" x14ac:dyDescent="0.15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</row>
    <row r="340" spans="1:20" x14ac:dyDescent="0.15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</row>
    <row r="341" spans="1:20" x14ac:dyDescent="0.15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</row>
    <row r="342" spans="1:20" x14ac:dyDescent="0.15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</row>
    <row r="343" spans="1:20" x14ac:dyDescent="0.15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</row>
    <row r="344" spans="1:20" x14ac:dyDescent="0.15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</row>
    <row r="345" spans="1:20" x14ac:dyDescent="0.15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</row>
    <row r="346" spans="1:20" x14ac:dyDescent="0.15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</row>
    <row r="347" spans="1:20" x14ac:dyDescent="0.15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</row>
    <row r="348" spans="1:20" x14ac:dyDescent="0.15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</row>
    <row r="349" spans="1:20" x14ac:dyDescent="0.15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</row>
    <row r="350" spans="1:20" x14ac:dyDescent="0.15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</row>
    <row r="351" spans="1:20" x14ac:dyDescent="0.15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</row>
    <row r="352" spans="1:20" x14ac:dyDescent="0.15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</row>
    <row r="353" spans="1:20" x14ac:dyDescent="0.15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</row>
    <row r="354" spans="1:20" x14ac:dyDescent="0.15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</row>
    <row r="355" spans="1:20" x14ac:dyDescent="0.15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</row>
    <row r="356" spans="1:20" x14ac:dyDescent="0.15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</row>
    <row r="357" spans="1:20" x14ac:dyDescent="0.15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</row>
    <row r="358" spans="1:20" x14ac:dyDescent="0.15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</row>
    <row r="359" spans="1:20" x14ac:dyDescent="0.15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</row>
    <row r="360" spans="1:20" x14ac:dyDescent="0.15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</row>
    <row r="361" spans="1:20" x14ac:dyDescent="0.15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</row>
    <row r="362" spans="1:20" x14ac:dyDescent="0.15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</row>
    <row r="363" spans="1:20" x14ac:dyDescent="0.15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</row>
    <row r="364" spans="1:20" x14ac:dyDescent="0.15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</row>
    <row r="365" spans="1:20" x14ac:dyDescent="0.15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</row>
    <row r="366" spans="1:20" x14ac:dyDescent="0.15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</row>
    <row r="367" spans="1:20" x14ac:dyDescent="0.15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</row>
    <row r="368" spans="1:20" x14ac:dyDescent="0.15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</row>
    <row r="369" spans="1:20" x14ac:dyDescent="0.15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</row>
    <row r="370" spans="1:20" x14ac:dyDescent="0.15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</row>
    <row r="371" spans="1:20" x14ac:dyDescent="0.15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</row>
    <row r="372" spans="1:20" x14ac:dyDescent="0.15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</row>
    <row r="373" spans="1:20" x14ac:dyDescent="0.15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</row>
    <row r="374" spans="1:20" x14ac:dyDescent="0.15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</row>
    <row r="375" spans="1:20" x14ac:dyDescent="0.15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</row>
    <row r="376" spans="1:20" x14ac:dyDescent="0.15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</row>
    <row r="377" spans="1:20" x14ac:dyDescent="0.15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</row>
    <row r="378" spans="1:20" x14ac:dyDescent="0.15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</row>
    <row r="379" spans="1:20" x14ac:dyDescent="0.15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</row>
    <row r="380" spans="1:20" x14ac:dyDescent="0.15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</row>
    <row r="381" spans="1:20" x14ac:dyDescent="0.15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</row>
    <row r="382" spans="1:20" x14ac:dyDescent="0.15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</row>
    <row r="383" spans="1:20" x14ac:dyDescent="0.15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</row>
    <row r="384" spans="1:20" x14ac:dyDescent="0.15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</row>
    <row r="385" spans="1:20" x14ac:dyDescent="0.15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</row>
    <row r="386" spans="1:20" x14ac:dyDescent="0.15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</row>
    <row r="387" spans="1:20" x14ac:dyDescent="0.15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</row>
  </sheetData>
  <sheetProtection formatCells="0" formatColumns="0" formatRows="0"/>
  <dataConsolidate/>
  <mergeCells count="228">
    <mergeCell ref="G159:H159"/>
    <mergeCell ref="B51:C51"/>
    <mergeCell ref="L207:M207"/>
    <mergeCell ref="H207:I207"/>
    <mergeCell ref="J207:K207"/>
    <mergeCell ref="E207:G207"/>
    <mergeCell ref="E206:M206"/>
    <mergeCell ref="G171:H171"/>
    <mergeCell ref="A91:M91"/>
    <mergeCell ref="A92:M92"/>
    <mergeCell ref="D166:E166"/>
    <mergeCell ref="D167:E167"/>
    <mergeCell ref="A203:M203"/>
    <mergeCell ref="A163:C163"/>
    <mergeCell ref="A164:C164"/>
    <mergeCell ref="A165:C165"/>
    <mergeCell ref="A166:C166"/>
    <mergeCell ref="A167:C167"/>
    <mergeCell ref="A168:C168"/>
    <mergeCell ref="G169:H169"/>
    <mergeCell ref="F49:G49"/>
    <mergeCell ref="J49:K49"/>
    <mergeCell ref="O14:O15"/>
    <mergeCell ref="B52:C52"/>
    <mergeCell ref="B53:C53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F65:G65"/>
    <mergeCell ref="F66:G66"/>
    <mergeCell ref="F55:G55"/>
    <mergeCell ref="F56:G56"/>
    <mergeCell ref="R9:S9"/>
    <mergeCell ref="F10:M10"/>
    <mergeCell ref="A12:J13"/>
    <mergeCell ref="H48:I48"/>
    <mergeCell ref="J48:K48"/>
    <mergeCell ref="F9:N9"/>
    <mergeCell ref="D9:D10"/>
    <mergeCell ref="K12:L13"/>
    <mergeCell ref="M12:M13"/>
    <mergeCell ref="B14:D15"/>
    <mergeCell ref="A14:A15"/>
    <mergeCell ref="E14:E15"/>
    <mergeCell ref="N14:N15"/>
    <mergeCell ref="J47:K47"/>
    <mergeCell ref="D158:E158"/>
    <mergeCell ref="A158:C158"/>
    <mergeCell ref="A156:C156"/>
    <mergeCell ref="G158:H158"/>
    <mergeCell ref="A144:M144"/>
    <mergeCell ref="K142:M142"/>
    <mergeCell ref="A70:C70"/>
    <mergeCell ref="A80:C80"/>
    <mergeCell ref="A82:C82"/>
    <mergeCell ref="A93:C93"/>
    <mergeCell ref="K127:M127"/>
    <mergeCell ref="K128:M128"/>
    <mergeCell ref="K129:M129"/>
    <mergeCell ref="K130:M130"/>
    <mergeCell ref="K131:M131"/>
    <mergeCell ref="K132:M132"/>
    <mergeCell ref="K133:M133"/>
    <mergeCell ref="A143:C143"/>
    <mergeCell ref="K82:M82"/>
    <mergeCell ref="K140:M140"/>
    <mergeCell ref="K141:M141"/>
    <mergeCell ref="A95:C95"/>
    <mergeCell ref="K135:M135"/>
    <mergeCell ref="K136:M136"/>
    <mergeCell ref="A159:C159"/>
    <mergeCell ref="A160:C160"/>
    <mergeCell ref="P12:Q12"/>
    <mergeCell ref="B50:C50"/>
    <mergeCell ref="A40:M40"/>
    <mergeCell ref="F42:G42"/>
    <mergeCell ref="F14:J14"/>
    <mergeCell ref="B43:C43"/>
    <mergeCell ref="B44:C44"/>
    <mergeCell ref="B45:C45"/>
    <mergeCell ref="B46:C46"/>
    <mergeCell ref="B47:C47"/>
    <mergeCell ref="A42:C42"/>
    <mergeCell ref="L42:M42"/>
    <mergeCell ref="B48:C48"/>
    <mergeCell ref="B49:C49"/>
    <mergeCell ref="J42:K42"/>
    <mergeCell ref="F44:G44"/>
    <mergeCell ref="F45:G45"/>
    <mergeCell ref="G160:H160"/>
    <mergeCell ref="F50:G50"/>
    <mergeCell ref="H42:I42"/>
    <mergeCell ref="F57:G57"/>
    <mergeCell ref="F58:G58"/>
    <mergeCell ref="F43:G43"/>
    <mergeCell ref="H43:I43"/>
    <mergeCell ref="H47:I47"/>
    <mergeCell ref="H62:I62"/>
    <mergeCell ref="J50:K50"/>
    <mergeCell ref="J51:K51"/>
    <mergeCell ref="J52:K52"/>
    <mergeCell ref="J53:K53"/>
    <mergeCell ref="J54:K54"/>
    <mergeCell ref="J61:K61"/>
    <mergeCell ref="J62:K62"/>
    <mergeCell ref="F51:G51"/>
    <mergeCell ref="H61:I61"/>
    <mergeCell ref="F59:G59"/>
    <mergeCell ref="F60:G60"/>
    <mergeCell ref="F61:G61"/>
    <mergeCell ref="F62:G62"/>
    <mergeCell ref="F52:G52"/>
    <mergeCell ref="F53:G53"/>
    <mergeCell ref="F54:G54"/>
    <mergeCell ref="F46:G46"/>
    <mergeCell ref="F47:G47"/>
    <mergeCell ref="F48:G48"/>
    <mergeCell ref="H49:I49"/>
    <mergeCell ref="L43:M43"/>
    <mergeCell ref="L44:M44"/>
    <mergeCell ref="L45:M45"/>
    <mergeCell ref="L46:M46"/>
    <mergeCell ref="L47:M47"/>
    <mergeCell ref="L48:M48"/>
    <mergeCell ref="H65:I65"/>
    <mergeCell ref="J43:K43"/>
    <mergeCell ref="J44:K44"/>
    <mergeCell ref="J45:K45"/>
    <mergeCell ref="J46:K46"/>
    <mergeCell ref="L55:M55"/>
    <mergeCell ref="L49:M49"/>
    <mergeCell ref="L50:M50"/>
    <mergeCell ref="L51:M51"/>
    <mergeCell ref="L52:M52"/>
    <mergeCell ref="L53:M53"/>
    <mergeCell ref="L54:M54"/>
    <mergeCell ref="J63:K63"/>
    <mergeCell ref="J64:K64"/>
    <mergeCell ref="H44:I44"/>
    <mergeCell ref="H45:I45"/>
    <mergeCell ref="H46:I46"/>
    <mergeCell ref="F205:M205"/>
    <mergeCell ref="D205:E205"/>
    <mergeCell ref="G161:H161"/>
    <mergeCell ref="A169:C169"/>
    <mergeCell ref="A170:C170"/>
    <mergeCell ref="G162:H162"/>
    <mergeCell ref="G163:H163"/>
    <mergeCell ref="G164:H164"/>
    <mergeCell ref="G165:H165"/>
    <mergeCell ref="G166:H166"/>
    <mergeCell ref="G167:H167"/>
    <mergeCell ref="G168:H168"/>
    <mergeCell ref="D168:E168"/>
    <mergeCell ref="A161:C161"/>
    <mergeCell ref="A162:C162"/>
    <mergeCell ref="G170:H170"/>
    <mergeCell ref="D169:E169"/>
    <mergeCell ref="D170:E170"/>
    <mergeCell ref="I171:M171"/>
    <mergeCell ref="D159:E159"/>
    <mergeCell ref="D160:E160"/>
    <mergeCell ref="D161:E161"/>
    <mergeCell ref="D162:E162"/>
    <mergeCell ref="D163:E163"/>
    <mergeCell ref="D164:E164"/>
    <mergeCell ref="D165:E165"/>
    <mergeCell ref="O9:Q9"/>
    <mergeCell ref="A67:M67"/>
    <mergeCell ref="A68:M68"/>
    <mergeCell ref="J65:K65"/>
    <mergeCell ref="J66:K66"/>
    <mergeCell ref="J55:K55"/>
    <mergeCell ref="J56:K56"/>
    <mergeCell ref="J57:K57"/>
    <mergeCell ref="J58:K58"/>
    <mergeCell ref="J59:K59"/>
    <mergeCell ref="J60:K60"/>
    <mergeCell ref="L61:M61"/>
    <mergeCell ref="L62:M62"/>
    <mergeCell ref="L63:M63"/>
    <mergeCell ref="L64:M64"/>
    <mergeCell ref="L65:M65"/>
    <mergeCell ref="L66:M66"/>
    <mergeCell ref="P14:P15"/>
    <mergeCell ref="Q14:Q15"/>
    <mergeCell ref="R14:R15"/>
    <mergeCell ref="S14:S15"/>
    <mergeCell ref="K14:K15"/>
    <mergeCell ref="L14:L15"/>
    <mergeCell ref="M14:M15"/>
    <mergeCell ref="A125:C125"/>
    <mergeCell ref="K134:M134"/>
    <mergeCell ref="H66:I66"/>
    <mergeCell ref="H55:I55"/>
    <mergeCell ref="H56:I56"/>
    <mergeCell ref="H57:I57"/>
    <mergeCell ref="H58:I58"/>
    <mergeCell ref="H59:I59"/>
    <mergeCell ref="H60:I60"/>
    <mergeCell ref="H50:I50"/>
    <mergeCell ref="H51:I51"/>
    <mergeCell ref="H52:I52"/>
    <mergeCell ref="H53:I53"/>
    <mergeCell ref="H54:I54"/>
    <mergeCell ref="H63:I63"/>
    <mergeCell ref="H64:I64"/>
    <mergeCell ref="F64:G64"/>
    <mergeCell ref="K137:M137"/>
    <mergeCell ref="K138:M138"/>
    <mergeCell ref="K139:M139"/>
    <mergeCell ref="A127:C127"/>
    <mergeCell ref="L56:M56"/>
    <mergeCell ref="L57:M57"/>
    <mergeCell ref="L58:M58"/>
    <mergeCell ref="L59:M59"/>
    <mergeCell ref="L60:M60"/>
    <mergeCell ref="F63:G63"/>
  </mergeCells>
  <conditionalFormatting sqref="M16:M39">
    <cfRule type="expression" dxfId="14" priority="26">
      <formula>$S$12="Multi"</formula>
    </cfRule>
  </conditionalFormatting>
  <conditionalFormatting sqref="A206:M206">
    <cfRule type="expression" dxfId="13" priority="29">
      <formula>$H$207&lt;&gt;"CUSTOM"</formula>
    </cfRule>
  </conditionalFormatting>
  <conditionalFormatting sqref="A203:S203">
    <cfRule type="expression" dxfId="12" priority="35">
      <formula>$D$9="Non-NIH"</formula>
    </cfRule>
  </conditionalFormatting>
  <conditionalFormatting sqref="A145:S145 A144:M144 O144:S144">
    <cfRule type="expression" dxfId="11" priority="36">
      <formula>$D$9="Non-NIH"</formula>
    </cfRule>
    <cfRule type="expression" dxfId="10" priority="37">
      <formula>$D$9="Non-NIH"</formula>
    </cfRule>
  </conditionalFormatting>
  <conditionalFormatting sqref="L43:M66">
    <cfRule type="expression" dxfId="9" priority="10">
      <formula>$R$10="0 Months"</formula>
    </cfRule>
  </conditionalFormatting>
  <conditionalFormatting sqref="F48:G66">
    <cfRule type="expression" dxfId="8" priority="13">
      <formula>$O$10="0 Months"</formula>
    </cfRule>
  </conditionalFormatting>
  <conditionalFormatting sqref="H48:I66">
    <cfRule type="expression" dxfId="7" priority="12">
      <formula>$P$10="0 Months"</formula>
    </cfRule>
  </conditionalFormatting>
  <conditionalFormatting sqref="J43:K66">
    <cfRule type="expression" dxfId="6" priority="11">
      <formula>$Q$10="0 Months"</formula>
    </cfRule>
  </conditionalFormatting>
  <dataValidations count="17">
    <dataValidation type="list" allowBlank="1" showInputMessage="1" showErrorMessage="1" sqref="K16:K39" xr:uid="{00000000-0002-0000-0100-000000000000}">
      <formula1>"SMR,AY,CAL"</formula1>
    </dataValidation>
    <dataValidation type="list" allowBlank="1" showInputMessage="1" showErrorMessage="1" sqref="L16:L39" xr:uid="{00000000-0002-0000-0100-000001000000}">
      <formula1>"9,11,12"</formula1>
    </dataValidation>
    <dataValidation type="list" allowBlank="1" showInputMessage="1" showErrorMessage="1" sqref="S12" xr:uid="{00000000-0002-0000-0100-000002000000}">
      <formula1>"0%,1%,2%,3%,4%,5%,Multi"</formula1>
    </dataValidation>
    <dataValidation type="list" allowBlank="1" showInputMessage="1" showErrorMessage="1" sqref="R12" xr:uid="{00000000-0002-0000-0100-000003000000}">
      <formula1>"FY,PY"</formula1>
    </dataValidation>
    <dataValidation type="list" allowBlank="1" showInputMessage="1" showErrorMessage="1" sqref="M16:M39" xr:uid="{00000000-0002-0000-0100-000004000000}">
      <formula1>"0%,1%,2%,3%,4%,5%,6%"</formula1>
    </dataValidation>
    <dataValidation type="list" allowBlank="1" showInputMessage="1" showErrorMessage="1" sqref="M83:M92" xr:uid="{00000000-0002-0000-0100-000005000000}">
      <formula1>"Yes,No"</formula1>
    </dataValidation>
    <dataValidation type="list" allowBlank="1" showInputMessage="1" showErrorMessage="1" sqref="F159:F170" xr:uid="{00000000-0002-0000-0100-000006000000}">
      <formula1>"0%,1%,2%,3%,4%,5%,6%,7%,8%,9%,10%"</formula1>
    </dataValidation>
    <dataValidation type="list" allowBlank="1" showInputMessage="1" showErrorMessage="1" sqref="I171:M171" xr:uid="{00000000-0002-0000-0100-000007000000}">
      <formula1>"Federal,Non-Federal"</formula1>
    </dataValidation>
    <dataValidation type="list" allowBlank="1" showInputMessage="1" showErrorMessage="1" sqref="H207" xr:uid="{00000000-0002-0000-0100-000008000000}">
      <formula1>"MTDC,TC,TDC,CUSTOM"</formula1>
    </dataValidation>
    <dataValidation type="list" allowBlank="1" showInputMessage="1" showErrorMessage="1" sqref="N10" xr:uid="{00000000-0002-0000-0100-000009000000}">
      <formula1>"1 Month,2 Months,3 Months,4 Months,5 Months,6 Months,7 Months,8 Months,9 Months,10 Months,11 Months,12 Months"</formula1>
    </dataValidation>
    <dataValidation type="list" allowBlank="1" showInputMessage="1" showErrorMessage="1" sqref="I158:M158" xr:uid="{00000000-0002-0000-0100-00000A000000}">
      <formula1>"#GSRs,#Qrtr"</formula1>
    </dataValidation>
    <dataValidation type="list" allowBlank="1" showInputMessage="1" showErrorMessage="1" sqref="F158" xr:uid="{00000000-0002-0000-0100-00000B000000}">
      <formula1>"AY,PY"</formula1>
    </dataValidation>
    <dataValidation type="list" allowBlank="1" showInputMessage="1" showErrorMessage="1" sqref="D159:E170" xr:uid="{00000000-0002-0000-0100-00000C000000}">
      <formula1>"Resident,Non-Resident,Part-Time,Summer Only, Filing Status, Fellowship,Other"</formula1>
    </dataValidation>
    <dataValidation type="list" allowBlank="1" showInputMessage="1" showErrorMessage="1" sqref="D158:E158" xr:uid="{00000000-0002-0000-0100-00000D000000}">
      <formula1>"Use Buydown, Use Full Rates"</formula1>
    </dataValidation>
    <dataValidation type="list" allowBlank="1" showInputMessage="1" showErrorMessage="1" sqref="D9" xr:uid="{00000000-0002-0000-0100-00000E000000}">
      <formula1>"NIH,Non-NIH"</formula1>
    </dataValidation>
    <dataValidation type="list" allowBlank="1" showInputMessage="1" showErrorMessage="1" sqref="K128:M142" xr:uid="{00000000-0002-0000-0100-00000F000000}">
      <formula1>"Non-UC,UC, IC of Above"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9:S9" xr:uid="{00000000-0002-0000-0100-000010000000}">
      <formula1>C9</formula1>
    </dataValidation>
  </dataValidations>
  <printOptions horizontalCentered="1"/>
  <pageMargins left="0.2" right="0" top="0.25" bottom="0.25" header="0.05" footer="0.05"/>
  <pageSetup scale="95" fitToHeight="3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10CEDDFF-42CD-4F0F-A0F2-518C149CA4BC}">
            <xm:f>$F$205&lt;&gt;Worksheet!$A$91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H207:K207 E207</xm:sqref>
        </x14:conditionalFormatting>
        <x14:conditionalFormatting xmlns:xm="http://schemas.microsoft.com/office/excel/2006/main">
          <x14:cfRule type="expression" priority="33" id="{B78169D6-B527-4B73-A520-F786EBE79368}">
            <xm:f>$F$205&lt;&gt;Worksheet!$A$91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L207:M207</xm:sqref>
        </x14:conditionalFormatting>
        <x14:conditionalFormatting xmlns:xm="http://schemas.microsoft.com/office/excel/2006/main">
          <x14:cfRule type="expression" priority="34" id="{6C5B5434-2981-4A4B-AF8F-E7E0B6334870}">
            <xm:f>$F$205&lt;&gt;Worksheet!$A$91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E206:M206</xm:sqref>
        </x14:conditionalFormatting>
        <x14:conditionalFormatting xmlns:xm="http://schemas.microsoft.com/office/excel/2006/main">
          <x14:cfRule type="expression" priority="19" id="{8E7AF114-F0E4-4F52-ADD9-41B1176F0E26}">
            <xm:f>Worksheet!$G$5=0</xm:f>
            <x14:dxf>
              <font>
                <color theme="0"/>
              </font>
            </x14:dxf>
          </x14:cfRule>
          <xm:sqref>L43:M66</xm:sqref>
        </x14:conditionalFormatting>
        <x14:conditionalFormatting xmlns:xm="http://schemas.microsoft.com/office/excel/2006/main">
          <x14:cfRule type="expression" priority="18" id="{8E69FC05-8F5E-4708-9C6A-A0C4AE5B2D6D}">
            <xm:f>Worksheet!$B$5&lt;Worksheet!$C$1</xm:f>
            <x14:dxf>
              <font>
                <color theme="0"/>
              </font>
            </x14:dxf>
          </x14:cfRule>
          <xm:sqref>N10</xm:sqref>
        </x14:conditionalFormatting>
        <x14:conditionalFormatting xmlns:xm="http://schemas.microsoft.com/office/excel/2006/main">
          <x14:cfRule type="expression" priority="17" id="{A1AB9A02-3A33-41CA-9D8D-B5B210BF9B55}">
            <xm:f>Worksheet!$B$5&lt;Worksheet!$C$1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11000000}">
          <x14:formula1>
            <xm:f>Worksheet!$A$58:$A$70</xm:f>
          </x14:formula1>
          <xm:sqref>D49:D66</xm:sqref>
        </x14:dataValidation>
        <x14:dataValidation type="list" allowBlank="1" showInputMessage="1" showErrorMessage="1" xr:uid="{00000000-0002-0000-0100-000012000000}">
          <x14:formula1>
            <xm:f>Worksheet!$A$86:$A$91</xm:f>
          </x14:formula1>
          <xm:sqref>F205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E00AB9D4B804A99A1C6E19F0CB1A9" ma:contentTypeVersion="2" ma:contentTypeDescription="Create a new document." ma:contentTypeScope="" ma:versionID="8ac7fda48a2e19cb423ad57ce3d626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699689-913F-4C1D-8FC7-270A650A9C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CD4AA5D-D45B-4CDC-870B-F021D0E82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0C8C59-D049-4221-9492-8A136150A4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Request</vt:lpstr>
      <vt:lpstr>Sheet1</vt:lpstr>
      <vt:lpstr>Sheet2</vt:lpstr>
      <vt:lpstr>Request!Print_Area</vt:lpstr>
    </vt:vector>
  </TitlesOfParts>
  <Company>UCDavis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UWAC R03 budget template</dc:title>
  <dc:creator>Alyssa Bunn</dc:creator>
  <cp:lastModifiedBy>Microsoft Office User</cp:lastModifiedBy>
  <cp:lastPrinted>2016-06-29T00:02:51Z</cp:lastPrinted>
  <dcterms:created xsi:type="dcterms:W3CDTF">2014-08-22T18:00:39Z</dcterms:created>
  <dcterms:modified xsi:type="dcterms:W3CDTF">2019-12-31T23:22:20Z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0x0101007D5E00AB9D4B804A99A1C6E19F0CB1A9</vt:lpwstr>
  </property>
</Properties>
</file>